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76" yWindow="96" windowWidth="16896" windowHeight="10596" tabRatio="741" activeTab="1"/>
  </bookViews>
  <sheets>
    <sheet name="Chap. 4   AR4 &amp; AR5" sheetId="16" r:id="rId1"/>
    <sheet name="Bilan gain perte" sheetId="6" r:id="rId2"/>
    <sheet name="ZWALLY " sheetId="8" r:id="rId3"/>
    <sheet name="Marges erreurs " sheetId="14" r:id="rId4"/>
    <sheet name="Appendix 4A" sheetId="12" r:id="rId5"/>
    <sheet name="Vérif Glaciers" sheetId="13" r:id="rId6"/>
    <sheet name="Verif générale" sheetId="15" r:id="rId7"/>
  </sheets>
  <calcPr calcId="145621"/>
</workbook>
</file>

<file path=xl/calcChain.xml><?xml version="1.0" encoding="utf-8"?>
<calcChain xmlns="http://schemas.openxmlformats.org/spreadsheetml/2006/main">
  <c r="C12" i="6" l="1"/>
  <c r="F12" i="14" l="1"/>
  <c r="H13" i="6" l="1"/>
  <c r="H14" i="6" s="1"/>
  <c r="M61" i="12" l="1"/>
  <c r="M60" i="12"/>
  <c r="D7" i="14" l="1"/>
  <c r="G10" i="6" l="1"/>
  <c r="E9" i="6"/>
  <c r="E8" i="6"/>
  <c r="R32" i="16" l="1"/>
  <c r="R31" i="16"/>
  <c r="R22" i="16"/>
  <c r="R21" i="16"/>
  <c r="C21" i="16"/>
  <c r="C20" i="16"/>
  <c r="D4" i="16" s="1"/>
  <c r="G13" i="16"/>
  <c r="T12" i="16"/>
  <c r="T13" i="16" s="1"/>
  <c r="T14" i="16" s="1"/>
  <c r="T15" i="16" s="1"/>
  <c r="R12" i="16"/>
  <c r="C10" i="16"/>
  <c r="D9" i="16"/>
  <c r="F9" i="16" s="1"/>
  <c r="T8" i="16"/>
  <c r="T9" i="16" s="1"/>
  <c r="Q8" i="16"/>
  <c r="D8" i="16"/>
  <c r="D12" i="16" s="1"/>
  <c r="T7" i="16"/>
  <c r="R33" i="16" s="1"/>
  <c r="S7" i="16"/>
  <c r="D7" i="16"/>
  <c r="F7" i="16" s="1"/>
  <c r="T6" i="16"/>
  <c r="R34" i="16" s="1"/>
  <c r="D6" i="16"/>
  <c r="T5" i="16"/>
  <c r="D5" i="16"/>
  <c r="F5" i="16" s="1"/>
  <c r="T4" i="16"/>
  <c r="T3" i="16"/>
  <c r="Y7" i="16" s="1"/>
  <c r="Y8" i="16" s="1"/>
  <c r="T2" i="16"/>
  <c r="R30" i="16" s="1"/>
  <c r="R36" i="16" l="1"/>
  <c r="D14" i="16"/>
  <c r="F12" i="16"/>
  <c r="D15" i="16"/>
  <c r="F4" i="16"/>
  <c r="D10" i="16"/>
  <c r="D13" i="16"/>
  <c r="V4" i="16"/>
  <c r="F6" i="16"/>
  <c r="V7" i="16"/>
  <c r="W7" i="16" s="1"/>
  <c r="E9" i="16"/>
  <c r="F8" i="16"/>
  <c r="V8" i="16" l="1"/>
  <c r="W13" i="16"/>
  <c r="W14" i="16" s="1"/>
  <c r="W4" i="16"/>
  <c r="W8" i="16" s="1"/>
  <c r="E14" i="16"/>
  <c r="F14" i="16"/>
  <c r="F13" i="16"/>
  <c r="E13" i="16"/>
  <c r="C22" i="16"/>
  <c r="F10" i="16"/>
  <c r="E10" i="16"/>
  <c r="E6" i="16"/>
  <c r="C33" i="16" s="1"/>
  <c r="E8" i="16"/>
  <c r="E7" i="16"/>
  <c r="C34" i="16" s="1"/>
  <c r="F15" i="16"/>
  <c r="E15" i="16"/>
  <c r="E5" i="16"/>
  <c r="C31" i="16" s="1"/>
  <c r="E4" i="16"/>
  <c r="C30" i="16" s="1"/>
  <c r="E12" i="16"/>
  <c r="C32" i="16" s="1"/>
  <c r="D23" i="15" l="1"/>
  <c r="O15" i="15"/>
  <c r="L15" i="15"/>
  <c r="N15" i="15" s="1"/>
  <c r="O7" i="15"/>
  <c r="L7" i="15"/>
  <c r="N7" i="15" s="1"/>
  <c r="M13" i="15" l="1"/>
  <c r="O13" i="15" s="1"/>
  <c r="Q16" i="15"/>
  <c r="Q15" i="15"/>
  <c r="L13" i="15"/>
  <c r="N13" i="15" s="1"/>
  <c r="M12" i="15"/>
  <c r="O12" i="15" s="1"/>
  <c r="L12" i="15"/>
  <c r="N12" i="15" s="1"/>
  <c r="O11" i="15"/>
  <c r="M6" i="15"/>
  <c r="O6" i="15" s="1"/>
  <c r="L6" i="15"/>
  <c r="N6" i="15" s="1"/>
  <c r="O5" i="15"/>
  <c r="L5" i="15"/>
  <c r="N5" i="15" s="1"/>
  <c r="K13" i="13" l="1"/>
  <c r="K14" i="13"/>
  <c r="J12" i="13"/>
  <c r="K11" i="13"/>
  <c r="K10" i="13"/>
  <c r="K6" i="13"/>
  <c r="I6" i="13"/>
  <c r="K5" i="13"/>
  <c r="I5" i="13"/>
  <c r="K4" i="13"/>
  <c r="I4" i="13"/>
  <c r="L11" i="13" l="1"/>
  <c r="K7" i="13"/>
  <c r="I7" i="13"/>
  <c r="O23" i="6"/>
  <c r="H17" i="14" l="1"/>
  <c r="H16" i="14"/>
  <c r="F15" i="14"/>
  <c r="F11" i="14"/>
  <c r="F16" i="14" s="1"/>
  <c r="E16" i="14" s="1"/>
  <c r="J16" i="14" s="1"/>
  <c r="F10" i="14"/>
  <c r="F17" i="14" s="1"/>
  <c r="E17" i="14" s="1"/>
  <c r="J17" i="14" s="1"/>
  <c r="E7" i="14"/>
  <c r="F7" i="14" s="1"/>
  <c r="E6" i="14"/>
  <c r="F6" i="14" s="1"/>
  <c r="E5" i="14"/>
  <c r="F5" i="14" s="1"/>
  <c r="D33" i="6" l="1"/>
  <c r="D34" i="6" s="1"/>
  <c r="C33" i="6"/>
  <c r="C34" i="6" s="1"/>
  <c r="D35" i="6"/>
  <c r="C35" i="6"/>
  <c r="F30" i="6"/>
  <c r="F29" i="6"/>
  <c r="F28" i="6"/>
  <c r="F34" i="6" s="1"/>
  <c r="E30" i="6"/>
  <c r="E29" i="6"/>
  <c r="E28" i="6"/>
  <c r="C31" i="6"/>
  <c r="F31" i="6" l="1"/>
  <c r="E31" i="6"/>
  <c r="E34" i="6" l="1"/>
  <c r="C23" i="15"/>
  <c r="E23" i="15" s="1"/>
  <c r="C19" i="6"/>
  <c r="C20" i="6" s="1"/>
  <c r="D20" i="6" s="1"/>
  <c r="E4" i="13" l="1"/>
  <c r="E5" i="13" s="1"/>
  <c r="C4" i="13"/>
  <c r="C5" i="13" s="1"/>
  <c r="L23" i="6"/>
  <c r="K25" i="6"/>
  <c r="K26" i="6" s="1"/>
  <c r="L21" i="6"/>
  <c r="L20" i="6"/>
  <c r="L19" i="6"/>
  <c r="V6" i="12"/>
  <c r="W6" i="12"/>
  <c r="V7" i="12"/>
  <c r="W7" i="12"/>
  <c r="V8" i="12"/>
  <c r="W8" i="12"/>
  <c r="V9" i="12"/>
  <c r="W9" i="12"/>
  <c r="V10" i="12"/>
  <c r="W10" i="12"/>
  <c r="V11" i="12"/>
  <c r="W11" i="12"/>
  <c r="V12" i="12"/>
  <c r="W12" i="12"/>
  <c r="V13" i="12"/>
  <c r="W13" i="12"/>
  <c r="V14" i="12"/>
  <c r="W14" i="12"/>
  <c r="V15" i="12"/>
  <c r="W15" i="12"/>
  <c r="V16" i="12"/>
  <c r="W16" i="12"/>
  <c r="V17" i="12"/>
  <c r="W17" i="12"/>
  <c r="V18" i="12"/>
  <c r="W18" i="12"/>
  <c r="V19" i="12"/>
  <c r="W19" i="12"/>
  <c r="V20" i="12"/>
  <c r="W20" i="12"/>
  <c r="V21" i="12"/>
  <c r="W21" i="12"/>
  <c r="V22" i="12"/>
  <c r="W22" i="12"/>
  <c r="V23" i="12"/>
  <c r="W23" i="12"/>
  <c r="V24" i="12"/>
  <c r="W24" i="12"/>
  <c r="W5" i="12"/>
  <c r="V5" i="12"/>
  <c r="P24" i="12"/>
  <c r="P25" i="12"/>
  <c r="P26" i="12"/>
  <c r="P27" i="12"/>
  <c r="O24" i="12"/>
  <c r="O25" i="12"/>
  <c r="O26" i="12"/>
  <c r="O27" i="12"/>
  <c r="P23" i="12"/>
  <c r="P42" i="12" s="1"/>
  <c r="O23" i="12"/>
  <c r="M39" i="12"/>
  <c r="N39" i="12"/>
  <c r="M21" i="12"/>
  <c r="N21" i="12"/>
  <c r="U48" i="12"/>
  <c r="T48" i="12"/>
  <c r="V47" i="12"/>
  <c r="W46" i="12"/>
  <c r="V46" i="12"/>
  <c r="W45" i="12"/>
  <c r="V45" i="12"/>
  <c r="W44" i="12"/>
  <c r="V44" i="12"/>
  <c r="W43" i="12"/>
  <c r="V43" i="12"/>
  <c r="W42" i="12"/>
  <c r="V42" i="12"/>
  <c r="W41" i="12"/>
  <c r="V41" i="12"/>
  <c r="W40" i="12"/>
  <c r="V40" i="12"/>
  <c r="W39" i="12"/>
  <c r="V39" i="12"/>
  <c r="W38" i="12"/>
  <c r="V38" i="12"/>
  <c r="W37" i="12"/>
  <c r="V37" i="12"/>
  <c r="W36" i="12"/>
  <c r="V36" i="12"/>
  <c r="W35" i="12"/>
  <c r="V35" i="12"/>
  <c r="W34" i="12"/>
  <c r="V34" i="12"/>
  <c r="W33" i="12"/>
  <c r="V33" i="12"/>
  <c r="P38" i="12"/>
  <c r="O38" i="12"/>
  <c r="W32" i="12"/>
  <c r="V32" i="12"/>
  <c r="P37" i="12"/>
  <c r="O37" i="12"/>
  <c r="W31" i="12"/>
  <c r="V31" i="12"/>
  <c r="P36" i="12"/>
  <c r="O36" i="12"/>
  <c r="W30" i="12"/>
  <c r="V30" i="12"/>
  <c r="P35" i="12"/>
  <c r="O35" i="12"/>
  <c r="W29" i="12"/>
  <c r="V29" i="12"/>
  <c r="P34" i="12"/>
  <c r="O34" i="12"/>
  <c r="W28" i="12"/>
  <c r="V28" i="12"/>
  <c r="P33" i="12"/>
  <c r="O33" i="12"/>
  <c r="W27" i="12"/>
  <c r="V27" i="12"/>
  <c r="P32" i="12"/>
  <c r="O32" i="12"/>
  <c r="U25" i="12"/>
  <c r="T25" i="12"/>
  <c r="P31" i="12"/>
  <c r="O31" i="12"/>
  <c r="P30" i="12"/>
  <c r="O30" i="12"/>
  <c r="O29" i="12"/>
  <c r="P28" i="12"/>
  <c r="O28" i="12"/>
  <c r="P20" i="12"/>
  <c r="O20" i="12"/>
  <c r="P19" i="12"/>
  <c r="O19" i="12"/>
  <c r="P18" i="12"/>
  <c r="O18" i="12"/>
  <c r="P17" i="12"/>
  <c r="O17" i="12"/>
  <c r="P16" i="12"/>
  <c r="O16" i="12"/>
  <c r="P15" i="12"/>
  <c r="O15" i="12"/>
  <c r="P14" i="12"/>
  <c r="O14" i="12"/>
  <c r="P13" i="12"/>
  <c r="O13" i="12"/>
  <c r="P12" i="12"/>
  <c r="O12" i="12"/>
  <c r="P11" i="12"/>
  <c r="O11" i="12"/>
  <c r="P10" i="12"/>
  <c r="O10" i="12"/>
  <c r="H10" i="6"/>
  <c r="G15" i="6"/>
  <c r="G13" i="6"/>
  <c r="G12" i="6"/>
  <c r="E10" i="6"/>
  <c r="E13" i="6" s="1"/>
  <c r="C6" i="8"/>
  <c r="C8" i="8"/>
  <c r="D6" i="8"/>
  <c r="D8" i="8" s="1"/>
  <c r="C10" i="6"/>
  <c r="P41" i="12" l="1"/>
  <c r="P43" i="12" s="1"/>
  <c r="O41" i="12"/>
  <c r="O42" i="12"/>
  <c r="W25" i="12"/>
  <c r="J58" i="12" s="1"/>
  <c r="V48" i="12"/>
  <c r="I60" i="12" s="1"/>
  <c r="P39" i="12"/>
  <c r="J56" i="12" s="1"/>
  <c r="P21" i="12"/>
  <c r="J54" i="12" s="1"/>
  <c r="O21" i="12"/>
  <c r="I54" i="12" s="1"/>
  <c r="W48" i="12"/>
  <c r="J60" i="12" s="1"/>
  <c r="O39" i="12"/>
  <c r="I56" i="12" s="1"/>
  <c r="V25" i="12"/>
  <c r="I58" i="12" s="1"/>
  <c r="O43" i="12" l="1"/>
</calcChain>
</file>

<file path=xl/sharedStrings.xml><?xml version="1.0" encoding="utf-8"?>
<sst xmlns="http://schemas.openxmlformats.org/spreadsheetml/2006/main" count="279" uniqueCount="205">
  <si>
    <t>Greenland</t>
  </si>
  <si>
    <t>Total</t>
  </si>
  <si>
    <t>ratio</t>
  </si>
  <si>
    <t>https://www.ipcc.ch/site/assets/uploads/2018/02/WG1AR5_Chapter04_FINAL.pdf</t>
  </si>
  <si>
    <t>Glaciers</t>
  </si>
  <si>
    <t>Antarctica</t>
  </si>
  <si>
    <t>hausse océan (mm)</t>
  </si>
  <si>
    <t xml:space="preserve">  Bilan net  1992-2012</t>
  </si>
  <si>
    <t xml:space="preserve">Glaciers </t>
  </si>
  <si>
    <t xml:space="preserve">Greenland </t>
  </si>
  <si>
    <t xml:space="preserve">Antarctica </t>
  </si>
  <si>
    <t>2003-2008</t>
  </si>
  <si>
    <t>moyenne pondérée</t>
  </si>
  <si>
    <t>Sur 20 ans</t>
  </si>
  <si>
    <t>Gain  (Gt/an)</t>
  </si>
  <si>
    <t>Antarctica (Glaciers)</t>
  </si>
  <si>
    <t>Antarctica (Greenland)</t>
  </si>
  <si>
    <t>Gain-Pertes (Gt)</t>
  </si>
  <si>
    <t>marge erreur  (Gt/y)</t>
  </si>
  <si>
    <t>marge erreur  (Gt)</t>
  </si>
  <si>
    <t>moyenne</t>
  </si>
  <si>
    <t>Tableau A</t>
  </si>
  <si>
    <t>Masse (Gt)</t>
  </si>
  <si>
    <t>Ratio en %</t>
  </si>
  <si>
    <t>Masse totale antarctique</t>
  </si>
  <si>
    <t>Correction AR4 AR5</t>
  </si>
  <si>
    <t>Tableau B</t>
  </si>
  <si>
    <t>3’</t>
  </si>
  <si>
    <t>3’'</t>
  </si>
  <si>
    <t>3’''</t>
  </si>
  <si>
    <t>Ratio inverse</t>
  </si>
  <si>
    <t>±</t>
  </si>
  <si>
    <t>3'</t>
  </si>
  <si>
    <t>Total  (Zwally)</t>
  </si>
  <si>
    <t>Antarctica  (Zwally)</t>
  </si>
  <si>
    <t>4'</t>
  </si>
  <si>
    <t>Erreur (Gt/an)</t>
  </si>
  <si>
    <t>± 3</t>
  </si>
  <si>
    <t>± 1,5</t>
  </si>
  <si>
    <t>Erreur (Gt)</t>
  </si>
  <si>
    <t>Erreur (mm)</t>
  </si>
  <si>
    <t>± 6</t>
  </si>
  <si>
    <t>?</t>
  </si>
  <si>
    <t>DISCUSSION MARGE ERREUR</t>
  </si>
  <si>
    <t>https://www.cambridge.org/core/journals/journal-of-glaciology/article/mass-gains-of-the-antarctic-ice-sheet-exceed-losses/983F196E23C3A6E7908E5FB32EB42268/core-reader</t>
  </si>
  <si>
    <r>
      <t xml:space="preserve">bilan gain </t>
    </r>
    <r>
      <rPr>
        <i/>
        <sz val="10"/>
        <color indexed="8"/>
        <rFont val="Arial"/>
        <family val="2"/>
      </rPr>
      <t>perte (Gt</t>
    </r>
    <r>
      <rPr>
        <sz val="10"/>
        <color indexed="8"/>
        <rFont val="Arial"/>
        <family val="2"/>
      </rPr>
      <t>)</t>
    </r>
  </si>
  <si>
    <r>
      <t xml:space="preserve">bilan gain </t>
    </r>
    <r>
      <rPr>
        <i/>
        <sz val="11"/>
        <rFont val="Arial"/>
        <family val="2"/>
      </rPr>
      <t>perte (Gt/</t>
    </r>
    <r>
      <rPr>
        <sz val="11"/>
        <rFont val="Arial"/>
        <family val="2"/>
      </rPr>
      <t>y)</t>
    </r>
  </si>
  <si>
    <r>
      <t xml:space="preserve">bilan gain </t>
    </r>
    <r>
      <rPr>
        <i/>
        <sz val="10"/>
        <rFont val="Arial"/>
        <family val="2"/>
      </rPr>
      <t>perte (Gt</t>
    </r>
    <r>
      <rPr>
        <sz val="10"/>
        <rFont val="Arial"/>
        <family val="2"/>
      </rPr>
      <t>)</t>
    </r>
  </si>
  <si>
    <t xml:space="preserve"> moyenne </t>
  </si>
  <si>
    <t>numero</t>
  </si>
  <si>
    <t>N°</t>
  </si>
  <si>
    <t>de 220 à -6260</t>
  </si>
  <si>
    <t>de -1560 à -4400</t>
  </si>
  <si>
    <t>Extrêmes (Gt)</t>
  </si>
  <si>
    <t>Greenland used</t>
  </si>
  <si>
    <t>Greenland NOT used</t>
  </si>
  <si>
    <t>Antarctique AR5</t>
  </si>
  <si>
    <t>Greenland AR5</t>
  </si>
  <si>
    <t>11 (10)</t>
  </si>
  <si>
    <t>16 (10)</t>
  </si>
  <si>
    <t>27 (20)</t>
  </si>
  <si>
    <t>21 (16)</t>
  </si>
  <si>
    <t>20 (14)</t>
  </si>
  <si>
    <t>41 (30)</t>
  </si>
  <si>
    <t xml:space="preserve">Sources </t>
  </si>
  <si>
    <t>de +540 à -3000</t>
  </si>
  <si>
    <t>de -140 à -4960</t>
  </si>
  <si>
    <t>Appendix 4A</t>
  </si>
  <si>
    <t>Moy. erreurs (Gt)</t>
  </si>
  <si>
    <t>Moy. bilans (Gt)</t>
  </si>
  <si>
    <t>Zwally et al (2015)</t>
  </si>
  <si>
    <t>1992-2001</t>
  </si>
  <si>
    <t>Antarctica used</t>
  </si>
  <si>
    <t>Antarctica NOT used</t>
  </si>
  <si>
    <r>
      <t xml:space="preserve">Erreur </t>
    </r>
    <r>
      <rPr>
        <sz val="10"/>
        <color indexed="8"/>
        <rFont val="Arial"/>
        <family val="2"/>
      </rPr>
      <t>(Gt/Mkm²)</t>
    </r>
  </si>
  <si>
    <r>
      <t xml:space="preserve">Surface </t>
    </r>
    <r>
      <rPr>
        <sz val="10"/>
        <color indexed="8"/>
        <rFont val="Arial"/>
        <family val="2"/>
      </rPr>
      <t>(Mkm²)</t>
    </r>
  </si>
  <si>
    <t xml:space="preserve"> Bilan cryosphère gain/perte (Gt)</t>
  </si>
  <si>
    <r>
      <t xml:space="preserve">Erreur </t>
    </r>
    <r>
      <rPr>
        <sz val="10"/>
        <color indexed="8"/>
        <rFont val="Arial"/>
        <family val="2"/>
      </rPr>
      <t>(Gt)</t>
    </r>
  </si>
  <si>
    <t>AR5 CH4 Table 4.1</t>
  </si>
  <si>
    <t>Antarctica correction AR4/AR5</t>
  </si>
  <si>
    <t>(x 283)</t>
  </si>
  <si>
    <t xml:space="preserve"> (x 58)</t>
  </si>
  <si>
    <t>Total cryosphère</t>
  </si>
  <si>
    <t>Selon figs 4.6, 4.15 et 4.25    WG1 AR5</t>
  </si>
  <si>
    <t>Epaisseur moyenne (m)</t>
  </si>
  <si>
    <t>Tab 4.2 AR5 page 336</t>
  </si>
  <si>
    <t>Masse totale glaciers (Gt)</t>
  </si>
  <si>
    <t>Volume total glaciers  (km3)</t>
  </si>
  <si>
    <t>Erreur bilan glacier (Gt)</t>
  </si>
  <si>
    <t>ratios</t>
  </si>
  <si>
    <t>ecart (min max)/2 (Gt)</t>
  </si>
  <si>
    <r>
      <t xml:space="preserve"> </t>
    </r>
    <r>
      <rPr>
        <sz val="11"/>
        <color indexed="30"/>
        <rFont val="Arial"/>
        <family val="2"/>
      </rPr>
      <t>± 980</t>
    </r>
    <r>
      <rPr>
        <sz val="11"/>
        <color indexed="8"/>
        <rFont val="Calibri"/>
        <family val="2"/>
      </rPr>
      <t/>
    </r>
  </si>
  <si>
    <t>Zwally Antarctica (+2040 Gt)</t>
  </si>
  <si>
    <r>
      <rPr>
        <b/>
        <sz val="9"/>
        <color theme="1"/>
        <rFont val="Arial"/>
        <family val="2"/>
      </rPr>
      <t>S.L.E.</t>
    </r>
    <r>
      <rPr>
        <sz val="9"/>
        <color theme="1"/>
        <rFont val="Arial"/>
        <family val="2"/>
      </rPr>
      <t xml:space="preserve"> (mm)</t>
    </r>
  </si>
  <si>
    <t>5/11 "used"  incompatibles</t>
  </si>
  <si>
    <r>
      <rPr>
        <b/>
        <sz val="16"/>
        <color rgb="FFFF0000"/>
        <rFont val="Arial"/>
        <family val="2"/>
      </rPr>
      <t>ANTARCTICA</t>
    </r>
    <r>
      <rPr>
        <b/>
        <sz val="14"/>
        <color rgb="FFFF0000"/>
        <rFont val="Arial"/>
        <family val="2"/>
      </rPr>
      <t xml:space="preserve"> Total de 27 references page 381/382  AR5</t>
    </r>
  </si>
  <si>
    <r>
      <rPr>
        <b/>
        <sz val="18"/>
        <color rgb="FFFF0000"/>
        <rFont val="Arial"/>
        <family val="2"/>
      </rPr>
      <t>GREENLAND</t>
    </r>
    <r>
      <rPr>
        <b/>
        <sz val="16"/>
        <color rgb="FFFF0000"/>
        <rFont val="Arial"/>
        <family val="2"/>
      </rPr>
      <t xml:space="preserve">  Total de 41 references pages 380/381 AR5</t>
    </r>
  </si>
  <si>
    <t>Arrondi</t>
  </si>
  <si>
    <t>Exact</t>
  </si>
  <si>
    <t>Sea Level Equivalent  (mm)</t>
  </si>
  <si>
    <t>https://agupubs.onlinelibrary.wiley.com/doi/pdf/10.1029/2011GL046583@10.1002/(ISSN)1944-8007.GRL40</t>
  </si>
  <si>
    <t>https://hal.archives-ouvertes.fr/hal-00401223/file/Cazenave_et_al_GPC_2009.pdf</t>
  </si>
  <si>
    <t xml:space="preserve"> Erreur</t>
  </si>
  <si>
    <r>
      <rPr>
        <sz val="11"/>
        <color theme="1"/>
        <rFont val="Calibri"/>
        <family val="2"/>
      </rPr>
      <t>±</t>
    </r>
    <r>
      <rPr>
        <sz val="11"/>
        <color theme="1"/>
        <rFont val="Arial"/>
        <family val="2"/>
      </rPr>
      <t>3</t>
    </r>
  </si>
  <si>
    <t>±6</t>
  </si>
  <si>
    <r>
      <rPr>
        <sz val="11"/>
        <color theme="1"/>
        <rFont val="Calibri"/>
        <family val="2"/>
      </rPr>
      <t>±</t>
    </r>
    <r>
      <rPr>
        <sz val="11"/>
        <color theme="1"/>
        <rFont val="Arial"/>
        <family val="2"/>
      </rPr>
      <t>1,5</t>
    </r>
  </si>
  <si>
    <r>
      <rPr>
        <sz val="11"/>
        <color rgb="FF0070C0"/>
        <rFont val="Calibri"/>
        <family val="2"/>
      </rPr>
      <t>±</t>
    </r>
    <r>
      <rPr>
        <sz val="11"/>
        <color rgb="FF0070C0"/>
        <rFont val="Arial"/>
        <family val="2"/>
      </rPr>
      <t>1,5</t>
    </r>
  </si>
  <si>
    <r>
      <rPr>
        <sz val="11"/>
        <color rgb="FFFF0000"/>
        <rFont val="Calibri"/>
        <family val="2"/>
      </rPr>
      <t>±</t>
    </r>
    <r>
      <rPr>
        <sz val="11"/>
        <color rgb="FFFF0000"/>
        <rFont val="Arial"/>
        <family val="2"/>
      </rPr>
      <t>6</t>
    </r>
  </si>
  <si>
    <t>GIEC</t>
  </si>
  <si>
    <t>cogley marzeiron</t>
  </si>
  <si>
    <t>Gardner et al.</t>
  </si>
  <si>
    <t>SLE (mm)</t>
  </si>
  <si>
    <t>erreur</t>
  </si>
  <si>
    <t>ep moy</t>
  </si>
  <si>
    <t xml:space="preserve">erreur </t>
  </si>
  <si>
    <t>mass change</t>
  </si>
  <si>
    <t>mass total</t>
  </si>
  <si>
    <t>SLE change GIEC</t>
  </si>
  <si>
    <t>SLE total GIEC (mm)</t>
  </si>
  <si>
    <t>par an</t>
  </si>
  <si>
    <t>20 ans</t>
  </si>
  <si>
    <t>bilan</t>
  </si>
  <si>
    <t>Glaciers p 319</t>
  </si>
  <si>
    <t>Glacier p 344</t>
  </si>
  <si>
    <t>Total calottes</t>
  </si>
  <si>
    <t>Antarctique</t>
  </si>
  <si>
    <t>Actuel AR5</t>
  </si>
  <si>
    <t>Déglaciation 10ka-18ka</t>
  </si>
  <si>
    <t>Cryosphère  -10995 Gt en 20 ans</t>
  </si>
  <si>
    <t xml:space="preserve">Cryosphère - 2x26E6 Gt en 10 ka </t>
  </si>
  <si>
    <t>Glaciers TS p 41</t>
  </si>
  <si>
    <t>Greenland TS p. 41</t>
  </si>
  <si>
    <t>https://www.ipcc.ch/site/assets/uploads/2018/02/WG1AR5_TS_FINAL.pdf</t>
  </si>
  <si>
    <t>Antartica p352</t>
  </si>
  <si>
    <t>Tab 4.5 p 344</t>
  </si>
  <si>
    <t>arrondi</t>
  </si>
  <si>
    <t>Surface terre (510,1)</t>
  </si>
  <si>
    <t>Land % (147,6)</t>
  </si>
  <si>
    <t>Océan % (362,5)</t>
  </si>
  <si>
    <t>Glaces (Mkm²)</t>
  </si>
  <si>
    <t>Cumul partiels (Mkm²)</t>
  </si>
  <si>
    <t>ice</t>
  </si>
  <si>
    <t>antarctic ice sheet</t>
  </si>
  <si>
    <t>Selon Tab 4.1 Ch4 AR5</t>
  </si>
  <si>
    <r>
      <rPr>
        <b/>
        <sz val="9"/>
        <color theme="1"/>
        <rFont val="Arial"/>
        <family val="2"/>
      </rPr>
      <t>S</t>
    </r>
    <r>
      <rPr>
        <b/>
        <sz val="8"/>
        <color theme="1"/>
        <rFont val="Arial"/>
        <family val="2"/>
      </rPr>
      <t xml:space="preserve">ea </t>
    </r>
    <r>
      <rPr>
        <b/>
        <sz val="9"/>
        <color theme="1"/>
        <rFont val="Arial"/>
        <family val="2"/>
      </rPr>
      <t>L</t>
    </r>
    <r>
      <rPr>
        <b/>
        <sz val="8"/>
        <color theme="1"/>
        <rFont val="Arial"/>
        <family val="2"/>
      </rPr>
      <t xml:space="preserve">evel </t>
    </r>
    <r>
      <rPr>
        <b/>
        <sz val="9"/>
        <color theme="1"/>
        <rFont val="Arial"/>
        <family val="2"/>
      </rPr>
      <t>E</t>
    </r>
    <r>
      <rPr>
        <b/>
        <sz val="8"/>
        <color theme="1"/>
        <rFont val="Arial"/>
        <family val="2"/>
      </rPr>
      <t>quivalent (m)</t>
    </r>
  </si>
  <si>
    <r>
      <t>Volumes (10^6 km</t>
    </r>
    <r>
      <rPr>
        <b/>
        <sz val="9"/>
        <color indexed="8"/>
        <rFont val="Arial"/>
        <family val="2"/>
      </rPr>
      <t>3</t>
    </r>
    <r>
      <rPr>
        <b/>
        <sz val="10"/>
        <color indexed="8"/>
        <rFont val="Arial"/>
        <family val="2"/>
      </rPr>
      <t>)</t>
    </r>
  </si>
  <si>
    <t>Ratios</t>
  </si>
  <si>
    <t>Masse (10^6 Gt)</t>
  </si>
  <si>
    <t>antarctic sea ice</t>
  </si>
  <si>
    <t>Antarctic</t>
  </si>
  <si>
    <t>antarctic ice shelves</t>
  </si>
  <si>
    <t>Glacier</t>
  </si>
  <si>
    <t>surf banquises</t>
  </si>
  <si>
    <t xml:space="preserve">Divers </t>
  </si>
  <si>
    <t>Artic sea ice</t>
  </si>
  <si>
    <t>Banquise Sud</t>
  </si>
  <si>
    <t>3,4 à 11,1 milliers km3</t>
  </si>
  <si>
    <t>Banquise Nord</t>
  </si>
  <si>
    <t>13 à 16,5 milliers km3</t>
  </si>
  <si>
    <t>Surface glaces</t>
  </si>
  <si>
    <t>Banquises N+S</t>
  </si>
  <si>
    <t>Snow North only (moy Mkm²)</t>
  </si>
  <si>
    <t>Banquises N+S , Glaciers</t>
  </si>
  <si>
    <t>Net nord  (Mkm²)</t>
  </si>
  <si>
    <r>
      <rPr>
        <sz val="8"/>
        <color indexed="22"/>
        <rFont val="Calibri"/>
        <family val="2"/>
      </rPr>
      <t>.</t>
    </r>
    <r>
      <rPr>
        <b/>
        <sz val="8"/>
        <color indexed="8"/>
        <rFont val="Calibri"/>
        <family val="2"/>
      </rPr>
      <t>-</t>
    </r>
    <r>
      <rPr>
        <sz val="8"/>
        <color indexed="8"/>
        <rFont val="Calibri"/>
        <family val="2"/>
      </rPr>
      <t xml:space="preserve">Greenland </t>
    </r>
    <r>
      <rPr>
        <b/>
        <sz val="8"/>
        <color indexed="8"/>
        <rFont val="Calibri"/>
        <family val="2"/>
      </rPr>
      <t>-</t>
    </r>
    <r>
      <rPr>
        <sz val="8"/>
        <color indexed="8"/>
        <rFont val="Calibri"/>
        <family val="2"/>
      </rPr>
      <t xml:space="preserve"> Glaciers</t>
    </r>
  </si>
  <si>
    <t>Sud</t>
  </si>
  <si>
    <t>Banquises N+S,Glaciers,Divers</t>
  </si>
  <si>
    <t>Total N+S(albedo) (Mkm²)</t>
  </si>
  <si>
    <r>
      <rPr>
        <sz val="10"/>
        <color indexed="22"/>
        <rFont val="Calibri"/>
        <family val="2"/>
      </rPr>
      <t>.</t>
    </r>
    <r>
      <rPr>
        <sz val="10"/>
        <color indexed="8"/>
        <rFont val="Calibri"/>
        <family val="2"/>
      </rPr>
      <t xml:space="preserve"> + Sud</t>
    </r>
  </si>
  <si>
    <t>Nord</t>
  </si>
  <si>
    <t>Antarctic + Greenland</t>
  </si>
  <si>
    <t>https://www.nasa.gov/feature/goddard/nasa-study-mass-gains-of-antarctic-ice-sheet-greater-than-losses</t>
  </si>
  <si>
    <t>conversion AR4    Antarctic</t>
  </si>
  <si>
    <t>d'après table 4.2</t>
  </si>
  <si>
    <t>conversion AR4   Greenland</t>
  </si>
  <si>
    <t>masse glacier Gt</t>
  </si>
  <si>
    <t>conversion AR5  Total</t>
  </si>
  <si>
    <t>volume millions km3</t>
  </si>
  <si>
    <t>Graphe en secteurs</t>
  </si>
  <si>
    <t>Lieu</t>
  </si>
  <si>
    <r>
      <t>Surfaces (10</t>
    </r>
    <r>
      <rPr>
        <b/>
        <vertAlign val="superscript"/>
        <sz val="12"/>
        <color indexed="8"/>
        <rFont val="Calibri"/>
        <family val="2"/>
      </rPr>
      <t>6</t>
    </r>
    <r>
      <rPr>
        <b/>
        <sz val="12"/>
        <color indexed="8"/>
        <rFont val="Calibri"/>
        <family val="2"/>
      </rPr>
      <t>km²)</t>
    </r>
  </si>
  <si>
    <t>Permafrost, snow, lac &amp; river</t>
  </si>
  <si>
    <t>VOLUMES</t>
  </si>
  <si>
    <t>SURFACES</t>
  </si>
  <si>
    <t>Contribution au niveau marin (1992-2012)</t>
  </si>
  <si>
    <t>1mm ocean pour 363 Gt</t>
  </si>
  <si>
    <t>± 1090</t>
  </si>
  <si>
    <t>± 545</t>
  </si>
  <si>
    <t>± 2180</t>
  </si>
  <si>
    <t xml:space="preserve">  1 mm de hausse pour la fonte de  363 Gt de glace</t>
  </si>
  <si>
    <r>
      <t>±</t>
    </r>
    <r>
      <rPr>
        <b/>
        <i/>
        <sz val="16.5"/>
        <color indexed="8"/>
        <rFont val="Arial"/>
        <family val="2"/>
      </rPr>
      <t xml:space="preserve"> </t>
    </r>
    <r>
      <rPr>
        <b/>
        <i/>
        <sz val="11"/>
        <color indexed="8"/>
        <rFont val="Arial"/>
        <family val="2"/>
      </rPr>
      <t>545</t>
    </r>
  </si>
  <si>
    <t>Glaciers (-5810 Gt)</t>
  </si>
  <si>
    <t>Greenland (-2905 Gt)</t>
  </si>
  <si>
    <t>AR5 Antarctica  (-1995 Gt)</t>
  </si>
  <si>
    <t>Erreur sur bilan gain/perte</t>
  </si>
  <si>
    <t>Comparaison erreur stock</t>
  </si>
  <si>
    <t>Erreur variation SLE  (mm)</t>
  </si>
  <si>
    <t>AR5 Chap.4  fig 4.25</t>
  </si>
  <si>
    <t>AR5 Chap. fig 4.25</t>
  </si>
  <si>
    <r>
      <rPr>
        <b/>
        <sz val="9"/>
        <color theme="1"/>
        <rFont val="Arial"/>
        <family val="2"/>
      </rPr>
      <t xml:space="preserve">Variation </t>
    </r>
    <r>
      <rPr>
        <b/>
        <sz val="8"/>
        <color theme="1"/>
        <rFont val="Arial"/>
        <family val="2"/>
      </rPr>
      <t xml:space="preserve">SLE (mm) 1992-2012  </t>
    </r>
  </si>
  <si>
    <r>
      <t xml:space="preserve">refenrences used: 5/11 sont  en dehors de [-1450 -2540]  </t>
    </r>
    <r>
      <rPr>
        <sz val="11"/>
        <color rgb="FFFF0000"/>
        <rFont val="Calibri"/>
        <family val="2"/>
        <scheme val="minor"/>
      </rPr>
      <t>(police en rouge)</t>
    </r>
  </si>
  <si>
    <t>± 2615</t>
  </si>
  <si>
    <t>Gain-Perte (Gt)</t>
  </si>
  <si>
    <t>± 7,2</t>
  </si>
  <si>
    <t>± 2,7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</si>
</sst>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0"/>
    <numFmt numFmtId="165" formatCode="0.000"/>
    <numFmt numFmtId="166" formatCode="0.0"/>
    <numFmt numFmtId="167" formatCode="0.0%"/>
    <numFmt numFmtId="168" formatCode="0.000%"/>
    <numFmt numFmtId="169" formatCode="0.00\ %"/>
    <numFmt numFmtId="170" formatCode="0.0000000%"/>
    <numFmt numFmtId="171" formatCode="0.0000%"/>
  </numFmts>
  <fonts count="137" x14ac:knownFonts="1">
    <font>
      <sz val="11"/>
      <color theme="1"/>
      <name val="Calibri"/>
      <family val="2"/>
      <scheme val="minor"/>
    </font>
    <font>
      <sz val="11"/>
      <color indexed="8"/>
      <name val="Calibri"/>
      <family val="2"/>
    </font>
    <font>
      <b/>
      <sz val="11"/>
      <color indexed="8"/>
      <name val="Arial"/>
      <family val="2"/>
    </font>
    <font>
      <b/>
      <sz val="12"/>
      <color indexed="8"/>
      <name val="Arial"/>
      <family val="2"/>
    </font>
    <font>
      <sz val="11"/>
      <color indexed="8"/>
      <name val="Arial"/>
      <family val="2"/>
    </font>
    <font>
      <b/>
      <sz val="12"/>
      <color indexed="10"/>
      <name val="Arial"/>
      <family val="2"/>
    </font>
    <font>
      <sz val="10"/>
      <color indexed="8"/>
      <name val="Arial"/>
      <family val="2"/>
    </font>
    <font>
      <b/>
      <sz val="14"/>
      <color indexed="8"/>
      <name val="Arial"/>
      <family val="2"/>
    </font>
    <font>
      <sz val="11"/>
      <color indexed="30"/>
      <name val="Arial"/>
      <family val="2"/>
    </font>
    <font>
      <sz val="11"/>
      <color indexed="10"/>
      <name val="Calibri"/>
      <family val="2"/>
    </font>
    <font>
      <sz val="11"/>
      <color indexed="10"/>
      <name val="Arial"/>
      <family val="2"/>
    </font>
    <font>
      <sz val="11"/>
      <color indexed="23"/>
      <name val="Arial"/>
      <family val="2"/>
    </font>
    <font>
      <i/>
      <sz val="10"/>
      <color indexed="8"/>
      <name val="Arial"/>
      <family val="2"/>
    </font>
    <font>
      <b/>
      <sz val="10"/>
      <color indexed="58"/>
      <name val="Arial"/>
      <family val="2"/>
    </font>
    <font>
      <sz val="12"/>
      <color indexed="8"/>
      <name val="Arial"/>
      <family val="2"/>
    </font>
    <font>
      <b/>
      <sz val="11"/>
      <color indexed="10"/>
      <name val="Arial"/>
      <family val="2"/>
    </font>
    <font>
      <sz val="11"/>
      <name val="Arial"/>
      <family val="2"/>
    </font>
    <font>
      <i/>
      <sz val="11"/>
      <name val="Arial"/>
      <family val="2"/>
    </font>
    <font>
      <sz val="10"/>
      <name val="Arial"/>
      <family val="2"/>
    </font>
    <font>
      <i/>
      <sz val="10"/>
      <name val="Arial"/>
      <family val="2"/>
    </font>
    <font>
      <sz val="12"/>
      <name val="Arial"/>
      <family val="2"/>
    </font>
    <font>
      <b/>
      <i/>
      <sz val="11"/>
      <color indexed="8"/>
      <name val="Arial"/>
      <family val="2"/>
    </font>
    <font>
      <b/>
      <i/>
      <sz val="16.5"/>
      <color indexed="8"/>
      <name val="Arial"/>
      <family val="2"/>
    </font>
    <font>
      <b/>
      <i/>
      <sz val="12"/>
      <color indexed="10"/>
      <name val="Arial"/>
      <family val="2"/>
    </font>
    <font>
      <i/>
      <sz val="11"/>
      <color indexed="10"/>
      <name val="Arial"/>
      <family val="2"/>
    </font>
    <font>
      <b/>
      <sz val="11"/>
      <color indexed="8"/>
      <name val="Calibri"/>
      <family val="2"/>
    </font>
    <font>
      <sz val="11"/>
      <color theme="1"/>
      <name val="Calibri"/>
      <family val="2"/>
      <scheme val="minor"/>
    </font>
    <font>
      <sz val="11"/>
      <color rgb="FFFF0000"/>
      <name val="Calibri"/>
      <family val="2"/>
      <scheme val="minor"/>
    </font>
    <font>
      <u/>
      <sz val="11"/>
      <color theme="10"/>
      <name val="Calibri"/>
      <family val="2"/>
      <scheme val="minor"/>
    </font>
    <font>
      <b/>
      <sz val="11"/>
      <color theme="1"/>
      <name val="Calibri"/>
      <family val="2"/>
      <scheme val="minor"/>
    </font>
    <font>
      <b/>
      <sz val="12"/>
      <color theme="1"/>
      <name val="Calibri"/>
      <family val="2"/>
      <scheme val="minor"/>
    </font>
    <font>
      <sz val="11"/>
      <color theme="1"/>
      <name val="Arial"/>
      <family val="2"/>
    </font>
    <font>
      <b/>
      <sz val="12"/>
      <color rgb="FFFF0000"/>
      <name val="Calibri"/>
      <family val="2"/>
      <scheme val="minor"/>
    </font>
    <font>
      <sz val="9"/>
      <color theme="1"/>
      <name val="Arial"/>
      <family val="2"/>
    </font>
    <font>
      <sz val="10"/>
      <color rgb="FFFF0000"/>
      <name val="Arial"/>
      <family val="2"/>
    </font>
    <font>
      <b/>
      <sz val="11"/>
      <color theme="1"/>
      <name val="Arial"/>
      <family val="2"/>
    </font>
    <font>
      <b/>
      <sz val="9"/>
      <color theme="1"/>
      <name val="Arial"/>
      <family val="2"/>
    </font>
    <font>
      <sz val="9"/>
      <color theme="1"/>
      <name val="Calibri"/>
      <family val="2"/>
      <scheme val="minor"/>
    </font>
    <font>
      <sz val="10"/>
      <color theme="1"/>
      <name val="Arial"/>
      <family val="2"/>
    </font>
    <font>
      <sz val="8"/>
      <color theme="1"/>
      <name val="Arial"/>
      <family val="2"/>
    </font>
    <font>
      <sz val="12"/>
      <color theme="1"/>
      <name val="Arial"/>
      <family val="2"/>
    </font>
    <font>
      <b/>
      <sz val="10"/>
      <color theme="1"/>
      <name val="Arial"/>
      <family val="2"/>
    </font>
    <font>
      <b/>
      <sz val="12"/>
      <color theme="1"/>
      <name val="Arial"/>
      <family val="2"/>
    </font>
    <font>
      <b/>
      <sz val="11"/>
      <color rgb="FFFF0000"/>
      <name val="Arial"/>
      <family val="2"/>
    </font>
    <font>
      <b/>
      <sz val="12"/>
      <color rgb="FFFF0000"/>
      <name val="Arial"/>
      <family val="2"/>
    </font>
    <font>
      <i/>
      <sz val="9"/>
      <color theme="1"/>
      <name val="Arial"/>
      <family val="2"/>
    </font>
    <font>
      <sz val="11"/>
      <color rgb="FFFF0000"/>
      <name val="Arial"/>
      <family val="2"/>
    </font>
    <font>
      <b/>
      <sz val="12"/>
      <color rgb="FF0070C0"/>
      <name val="Arial"/>
      <family val="2"/>
    </font>
    <font>
      <sz val="11"/>
      <color rgb="FF0070C0"/>
      <name val="Arial"/>
      <family val="2"/>
    </font>
    <font>
      <b/>
      <sz val="11"/>
      <color rgb="FF0070C0"/>
      <name val="Arial"/>
      <family val="2"/>
    </font>
    <font>
      <sz val="12"/>
      <color rgb="FF0070C0"/>
      <name val="Arial"/>
      <family val="2"/>
    </font>
    <font>
      <sz val="12"/>
      <color rgb="FFFF0000"/>
      <name val="Arial"/>
      <family val="2"/>
    </font>
    <font>
      <b/>
      <sz val="10"/>
      <color rgb="FFFF0000"/>
      <name val="Arial"/>
      <family val="2"/>
    </font>
    <font>
      <i/>
      <sz val="11"/>
      <color theme="1"/>
      <name val="Arial"/>
      <family val="2"/>
    </font>
    <font>
      <sz val="16"/>
      <color theme="1"/>
      <name val="Calibri"/>
      <family val="2"/>
      <scheme val="minor"/>
    </font>
    <font>
      <b/>
      <sz val="18"/>
      <color theme="1"/>
      <name val="Arial"/>
      <family val="2"/>
    </font>
    <font>
      <b/>
      <u/>
      <sz val="12"/>
      <color theme="10"/>
      <name val="Calibri"/>
      <family val="2"/>
      <scheme val="minor"/>
    </font>
    <font>
      <b/>
      <sz val="11"/>
      <color rgb="FF00B050"/>
      <name val="Arial"/>
      <family val="2"/>
    </font>
    <font>
      <b/>
      <sz val="12"/>
      <color rgb="FF00B050"/>
      <name val="Arial"/>
      <family val="2"/>
    </font>
    <font>
      <b/>
      <sz val="14"/>
      <color rgb="FF00B050"/>
      <name val="Arial"/>
      <family val="2"/>
    </font>
    <font>
      <b/>
      <sz val="9"/>
      <color rgb="FF00B050"/>
      <name val="Arial"/>
      <family val="2"/>
    </font>
    <font>
      <b/>
      <sz val="9"/>
      <color rgb="FFFF0000"/>
      <name val="Arial"/>
      <family val="2"/>
    </font>
    <font>
      <b/>
      <sz val="16"/>
      <color rgb="FFFF0000"/>
      <name val="Arial"/>
      <family val="2"/>
    </font>
    <font>
      <sz val="16"/>
      <color rgb="FFFF0000"/>
      <name val="Arial"/>
      <family val="2"/>
    </font>
    <font>
      <sz val="16"/>
      <color theme="1"/>
      <name val="Arial"/>
      <family val="2"/>
    </font>
    <font>
      <b/>
      <sz val="14"/>
      <color rgb="FFFF0000"/>
      <name val="Arial"/>
      <family val="2"/>
    </font>
    <font>
      <sz val="9"/>
      <color rgb="FFFF0000"/>
      <name val="Arial"/>
      <family val="2"/>
    </font>
    <font>
      <b/>
      <i/>
      <sz val="11"/>
      <color theme="1"/>
      <name val="Arial"/>
      <family val="2"/>
    </font>
    <font>
      <sz val="9"/>
      <color rgb="FF00B050"/>
      <name val="Arial"/>
      <family val="2"/>
    </font>
    <font>
      <sz val="11"/>
      <color rgb="FF00B050"/>
      <name val="Arial"/>
      <family val="2"/>
    </font>
    <font>
      <sz val="10"/>
      <color rgb="FF0070C0"/>
      <name val="Arial"/>
      <family val="2"/>
    </font>
    <font>
      <b/>
      <sz val="11"/>
      <color rgb="FFFF0000"/>
      <name val="Calibri"/>
      <family val="2"/>
      <scheme val="minor"/>
    </font>
    <font>
      <b/>
      <sz val="9"/>
      <color theme="1"/>
      <name val="Calibri"/>
      <family val="2"/>
      <scheme val="minor"/>
    </font>
    <font>
      <i/>
      <sz val="11"/>
      <color rgb="FF0070C0"/>
      <name val="Arial"/>
      <family val="2"/>
    </font>
    <font>
      <b/>
      <sz val="11"/>
      <color rgb="FF00B050"/>
      <name val="Calibri"/>
      <family val="2"/>
      <scheme val="minor"/>
    </font>
    <font>
      <sz val="8"/>
      <color theme="1"/>
      <name val="Calibri"/>
      <family val="2"/>
      <scheme val="minor"/>
    </font>
    <font>
      <b/>
      <sz val="10"/>
      <color rgb="FF0070C0"/>
      <name val="Arial"/>
      <family val="2"/>
    </font>
    <font>
      <i/>
      <sz val="10"/>
      <color rgb="FF0070C0"/>
      <name val="Arial"/>
      <family val="2"/>
    </font>
    <font>
      <b/>
      <sz val="8"/>
      <color theme="1"/>
      <name val="Arial"/>
      <family val="2"/>
    </font>
    <font>
      <sz val="9"/>
      <color rgb="FFFF0000"/>
      <name val="Calibri"/>
      <family val="2"/>
      <scheme val="minor"/>
    </font>
    <font>
      <sz val="10"/>
      <color theme="1"/>
      <name val="Calibri"/>
      <family val="2"/>
      <scheme val="minor"/>
    </font>
    <font>
      <b/>
      <u/>
      <sz val="14"/>
      <color theme="10"/>
      <name val="Calibri"/>
      <family val="2"/>
      <scheme val="minor"/>
    </font>
    <font>
      <b/>
      <sz val="14"/>
      <color rgb="FF0070C0"/>
      <name val="Calibri"/>
      <family val="2"/>
      <scheme val="minor"/>
    </font>
    <font>
      <b/>
      <sz val="11"/>
      <color theme="1"/>
      <name val="Calibri"/>
      <family val="2"/>
    </font>
    <font>
      <b/>
      <sz val="11"/>
      <color rgb="FFFF0000"/>
      <name val="Calibri"/>
      <family val="2"/>
    </font>
    <font>
      <sz val="11"/>
      <color rgb="FFFF0000"/>
      <name val="Calibri"/>
      <family val="2"/>
    </font>
    <font>
      <i/>
      <sz val="9"/>
      <color theme="1"/>
      <name val="Calibri"/>
      <family val="2"/>
      <scheme val="minor"/>
    </font>
    <font>
      <b/>
      <sz val="18"/>
      <color rgb="FFFF0000"/>
      <name val="Arial"/>
      <family val="2"/>
    </font>
    <font>
      <sz val="11"/>
      <color theme="1"/>
      <name val="Calibri"/>
      <family val="2"/>
    </font>
    <font>
      <u/>
      <sz val="10"/>
      <color theme="10"/>
      <name val="Calibri"/>
      <family val="2"/>
      <scheme val="minor"/>
    </font>
    <font>
      <u/>
      <sz val="12"/>
      <color theme="10"/>
      <name val="Calibri"/>
      <family val="2"/>
      <scheme val="minor"/>
    </font>
    <font>
      <sz val="11"/>
      <color rgb="FF0070C0"/>
      <name val="Calibri"/>
      <family val="2"/>
    </font>
    <font>
      <b/>
      <sz val="11"/>
      <color theme="0"/>
      <name val="Calibri"/>
      <family val="2"/>
      <scheme val="minor"/>
    </font>
    <font>
      <b/>
      <sz val="9"/>
      <color rgb="FFFF0000"/>
      <name val="Calibri"/>
      <family val="2"/>
      <scheme val="minor"/>
    </font>
    <font>
      <sz val="7"/>
      <color theme="1"/>
      <name val="Arial"/>
      <family val="2"/>
    </font>
    <font>
      <b/>
      <u/>
      <sz val="11"/>
      <color theme="10"/>
      <name val="Calibri"/>
      <family val="2"/>
      <scheme val="minor"/>
    </font>
    <font>
      <b/>
      <sz val="9"/>
      <color rgb="FF0070C0"/>
      <name val="Calibri"/>
      <family val="2"/>
      <scheme val="minor"/>
    </font>
    <font>
      <sz val="11"/>
      <color rgb="FF0070C0"/>
      <name val="Calibri"/>
      <family val="2"/>
      <scheme val="minor"/>
    </font>
    <font>
      <b/>
      <sz val="9"/>
      <color indexed="8"/>
      <name val="Arial"/>
      <family val="2"/>
    </font>
    <font>
      <b/>
      <sz val="10"/>
      <color indexed="8"/>
      <name val="Arial"/>
      <family val="2"/>
    </font>
    <font>
      <i/>
      <sz val="10"/>
      <color theme="1"/>
      <name val="Arial"/>
      <family val="2"/>
    </font>
    <font>
      <b/>
      <sz val="11"/>
      <color rgb="FFC00000"/>
      <name val="Arial"/>
      <family val="2"/>
    </font>
    <font>
      <sz val="12"/>
      <color rgb="FFC00000"/>
      <name val="Arial"/>
      <family val="2"/>
    </font>
    <font>
      <b/>
      <sz val="12"/>
      <color rgb="FFC00000"/>
      <name val="Arial"/>
      <family val="2"/>
    </font>
    <font>
      <i/>
      <sz val="11"/>
      <color rgb="FFC00000"/>
      <name val="Arial"/>
      <family val="2"/>
    </font>
    <font>
      <b/>
      <i/>
      <sz val="11"/>
      <color rgb="FF0070C0"/>
      <name val="Calibri"/>
      <family val="2"/>
      <scheme val="minor"/>
    </font>
    <font>
      <b/>
      <i/>
      <sz val="12"/>
      <color rgb="FF0070C0"/>
      <name val="Calibri"/>
      <family val="2"/>
      <scheme val="minor"/>
    </font>
    <font>
      <b/>
      <sz val="9"/>
      <color rgb="FF00B050"/>
      <name val="Calibri"/>
      <family val="2"/>
      <scheme val="minor"/>
    </font>
    <font>
      <sz val="11"/>
      <color rgb="FF00B050"/>
      <name val="Calibri"/>
      <family val="2"/>
      <scheme val="minor"/>
    </font>
    <font>
      <b/>
      <sz val="12"/>
      <color rgb="FF00B050"/>
      <name val="Calibri"/>
      <family val="2"/>
      <scheme val="minor"/>
    </font>
    <font>
      <b/>
      <i/>
      <sz val="11"/>
      <color rgb="FF00B050"/>
      <name val="Calibri"/>
      <family val="2"/>
      <scheme val="minor"/>
    </font>
    <font>
      <b/>
      <i/>
      <sz val="12"/>
      <color rgb="FF00B050"/>
      <name val="Calibri"/>
      <family val="2"/>
      <scheme val="minor"/>
    </font>
    <font>
      <b/>
      <sz val="14"/>
      <color rgb="FFFF0000"/>
      <name val="Calibri"/>
      <family val="2"/>
      <scheme val="minor"/>
    </font>
    <font>
      <b/>
      <i/>
      <sz val="11"/>
      <color theme="1"/>
      <name val="Calibri"/>
      <family val="2"/>
      <scheme val="minor"/>
    </font>
    <font>
      <sz val="10"/>
      <color rgb="FFFF0000"/>
      <name val="Calibri"/>
      <family val="2"/>
      <scheme val="minor"/>
    </font>
    <font>
      <b/>
      <i/>
      <sz val="14"/>
      <color rgb="FFFF0000"/>
      <name val="Arial"/>
      <family val="2"/>
    </font>
    <font>
      <i/>
      <sz val="10"/>
      <color theme="2" tint="-0.749992370372631"/>
      <name val="Arial"/>
      <family val="2"/>
    </font>
    <font>
      <b/>
      <i/>
      <sz val="10"/>
      <color theme="2" tint="-0.749992370372631"/>
      <name val="Arial"/>
      <family val="2"/>
    </font>
    <font>
      <sz val="8"/>
      <color rgb="FF00B050"/>
      <name val="Arial"/>
      <family val="2"/>
    </font>
    <font>
      <sz val="8"/>
      <color indexed="22"/>
      <name val="Calibri"/>
      <family val="2"/>
    </font>
    <font>
      <b/>
      <sz val="8"/>
      <color indexed="8"/>
      <name val="Calibri"/>
      <family val="2"/>
    </font>
    <font>
      <sz val="8"/>
      <color indexed="8"/>
      <name val="Calibri"/>
      <family val="2"/>
    </font>
    <font>
      <i/>
      <sz val="9"/>
      <color theme="2" tint="-0.749992370372631"/>
      <name val="Arial"/>
      <family val="2"/>
    </font>
    <font>
      <sz val="10"/>
      <color indexed="22"/>
      <name val="Calibri"/>
      <family val="2"/>
    </font>
    <font>
      <sz val="10"/>
      <color indexed="8"/>
      <name val="Calibri"/>
      <family val="2"/>
    </font>
    <font>
      <b/>
      <i/>
      <sz val="10"/>
      <color theme="1"/>
      <name val="Arial"/>
      <family val="2"/>
    </font>
    <font>
      <b/>
      <sz val="14"/>
      <color theme="1"/>
      <name val="Calibri"/>
      <family val="2"/>
      <scheme val="minor"/>
    </font>
    <font>
      <b/>
      <vertAlign val="superscript"/>
      <sz val="12"/>
      <color indexed="8"/>
      <name val="Calibri"/>
      <family val="2"/>
    </font>
    <font>
      <b/>
      <sz val="12"/>
      <color indexed="8"/>
      <name val="Calibri"/>
      <family val="2"/>
    </font>
    <font>
      <sz val="12"/>
      <color theme="1"/>
      <name val="Calibri"/>
      <family val="2"/>
      <scheme val="minor"/>
    </font>
    <font>
      <b/>
      <sz val="14"/>
      <color theme="3" tint="0.39997558519241921"/>
      <name val="Calibri"/>
      <family val="2"/>
      <scheme val="minor"/>
    </font>
    <font>
      <b/>
      <i/>
      <sz val="11"/>
      <color rgb="FFFF0000"/>
      <name val="Calibri"/>
      <family val="2"/>
      <scheme val="minor"/>
    </font>
    <font>
      <b/>
      <sz val="14"/>
      <color theme="4" tint="0.59999389629810485"/>
      <name val="Calibri"/>
      <family val="2"/>
      <scheme val="minor"/>
    </font>
    <font>
      <b/>
      <sz val="10"/>
      <color rgb="FFFF0000"/>
      <name val="Calibri"/>
      <family val="2"/>
      <scheme val="minor"/>
    </font>
    <font>
      <b/>
      <sz val="14"/>
      <color rgb="FF00B050"/>
      <name val="Calibri"/>
      <family val="2"/>
      <scheme val="minor"/>
    </font>
    <font>
      <b/>
      <sz val="28"/>
      <color theme="1"/>
      <name val="Calibri"/>
      <family val="2"/>
      <scheme val="minor"/>
    </font>
    <font>
      <b/>
      <sz val="14"/>
      <color rgb="FFFF0000"/>
      <name val="Calibri"/>
      <family val="2"/>
    </font>
  </fonts>
  <fills count="26">
    <fill>
      <patternFill patternType="none"/>
    </fill>
    <fill>
      <patternFill patternType="gray125"/>
    </fill>
    <fill>
      <patternFill patternType="solid">
        <fgColor indexed="9"/>
        <bgColor indexed="52"/>
      </patternFill>
    </fill>
    <fill>
      <patternFill patternType="solid">
        <fgColor indexed="13"/>
        <bgColor indexed="51"/>
      </patternFill>
    </fill>
    <fill>
      <patternFill patternType="solid">
        <fgColor rgb="FFFFFF0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55"/>
      </patternFill>
    </fill>
    <fill>
      <patternFill patternType="solid">
        <fgColor theme="0" tint="-4.9989318521683403E-2"/>
        <bgColor indexed="52"/>
      </patternFill>
    </fill>
    <fill>
      <patternFill patternType="solid">
        <fgColor theme="1" tint="0.499984740745262"/>
        <bgColor indexed="64"/>
      </patternFill>
    </fill>
    <fill>
      <patternFill patternType="solid">
        <fgColor theme="9" tint="0.79998168889431442"/>
        <bgColor indexed="64"/>
      </patternFill>
    </fill>
    <fill>
      <patternFill patternType="solid">
        <fgColor rgb="FFFFFF00"/>
        <bgColor indexed="26"/>
      </patternFill>
    </fill>
    <fill>
      <patternFill patternType="solid">
        <fgColor theme="6" tint="0.59999389629810485"/>
        <bgColor indexed="22"/>
      </patternFill>
    </fill>
    <fill>
      <patternFill patternType="solid">
        <fgColor theme="8" tint="0.79998168889431442"/>
        <bgColor indexed="34"/>
      </patternFill>
    </fill>
    <fill>
      <patternFill patternType="solid">
        <fgColor theme="8" tint="0.79998168889431442"/>
        <bgColor indexed="64"/>
      </patternFill>
    </fill>
    <fill>
      <patternFill patternType="solid">
        <fgColor rgb="FFFFFF00"/>
        <bgColor indexed="51"/>
      </patternFill>
    </fill>
    <fill>
      <patternFill patternType="solid">
        <fgColor theme="5"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ck">
        <color indexed="64"/>
      </left>
      <right style="thin">
        <color indexed="8"/>
      </right>
      <top style="thick">
        <color indexed="64"/>
      </top>
      <bottom style="thin">
        <color indexed="8"/>
      </bottom>
      <diagonal/>
    </border>
    <border>
      <left style="thin">
        <color indexed="8"/>
      </left>
      <right style="thin">
        <color indexed="8"/>
      </right>
      <top style="thick">
        <color indexed="64"/>
      </top>
      <bottom style="thin">
        <color indexed="8"/>
      </bottom>
      <diagonal/>
    </border>
    <border>
      <left style="thin">
        <color indexed="8"/>
      </left>
      <right style="thick">
        <color indexed="64"/>
      </right>
      <top style="thick">
        <color indexed="64"/>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indexed="8"/>
      </right>
      <top style="thin">
        <color indexed="8"/>
      </top>
      <bottom style="thick">
        <color indexed="64"/>
      </bottom>
      <diagonal/>
    </border>
    <border>
      <left style="thin">
        <color indexed="8"/>
      </left>
      <right style="thin">
        <color indexed="8"/>
      </right>
      <top style="thin">
        <color indexed="8"/>
      </top>
      <bottom style="thick">
        <color indexed="64"/>
      </bottom>
      <diagonal/>
    </border>
    <border>
      <left style="thin">
        <color indexed="8"/>
      </left>
      <right style="thick">
        <color indexed="64"/>
      </right>
      <top style="thin">
        <color indexed="8"/>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style="thin">
        <color indexed="64"/>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bottom/>
      <diagonal/>
    </border>
    <border>
      <left/>
      <right style="thick">
        <color rgb="FFFF0000"/>
      </right>
      <top/>
      <bottom/>
      <diagonal/>
    </border>
    <border>
      <left/>
      <right style="thick">
        <color rgb="FFFF0000"/>
      </right>
      <top/>
      <bottom style="thick">
        <color rgb="FFFF0000"/>
      </bottom>
      <diagonal/>
    </border>
    <border>
      <left style="thick">
        <color rgb="FFFF0000"/>
      </left>
      <right style="thin">
        <color indexed="64"/>
      </right>
      <top style="thick">
        <color rgb="FFFF0000"/>
      </top>
      <bottom style="medium">
        <color indexed="64"/>
      </bottom>
      <diagonal/>
    </border>
    <border>
      <left style="thick">
        <color rgb="FFFF0000"/>
      </left>
      <right style="thin">
        <color indexed="64"/>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style="thin">
        <color indexed="64"/>
      </left>
      <right style="thick">
        <color rgb="FFFF0000"/>
      </right>
      <top/>
      <bottom style="thick">
        <color rgb="FFFF0000"/>
      </bottom>
      <diagonal/>
    </border>
    <border>
      <left style="thick">
        <color rgb="FFFF0000"/>
      </left>
      <right style="thin">
        <color indexed="64"/>
      </right>
      <top style="thin">
        <color indexed="64"/>
      </top>
      <bottom style="thick">
        <color theme="1"/>
      </bottom>
      <diagonal/>
    </border>
    <border>
      <left/>
      <right style="thin">
        <color indexed="64"/>
      </right>
      <top style="thin">
        <color indexed="64"/>
      </top>
      <bottom style="thick">
        <color theme="1"/>
      </bottom>
      <diagonal/>
    </border>
    <border>
      <left style="thin">
        <color indexed="64"/>
      </left>
      <right/>
      <top style="thin">
        <color indexed="64"/>
      </top>
      <bottom style="thick">
        <color theme="1"/>
      </bottom>
      <diagonal/>
    </border>
    <border>
      <left style="thin">
        <color indexed="64"/>
      </left>
      <right style="thin">
        <color indexed="64"/>
      </right>
      <top style="thin">
        <color indexed="64"/>
      </top>
      <bottom style="thick">
        <color theme="1"/>
      </bottom>
      <diagonal/>
    </border>
    <border>
      <left style="thin">
        <color indexed="64"/>
      </left>
      <right style="thick">
        <color rgb="FFFF0000"/>
      </right>
      <top style="thin">
        <color indexed="64"/>
      </top>
      <bottom style="thick">
        <color theme="1"/>
      </bottom>
      <diagonal/>
    </border>
    <border>
      <left style="thin">
        <color indexed="64"/>
      </left>
      <right style="thin">
        <color indexed="64"/>
      </right>
      <top/>
      <bottom style="thick">
        <color rgb="FFFF0000"/>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top style="thick">
        <color rgb="FFFF0000"/>
      </top>
      <bottom style="thin">
        <color indexed="64"/>
      </bottom>
      <diagonal/>
    </border>
    <border>
      <left/>
      <right style="thin">
        <color indexed="64"/>
      </right>
      <top style="thick">
        <color rgb="FFFF0000"/>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s>
  <cellStyleXfs count="3">
    <xf numFmtId="0" fontId="0" fillId="0" borderId="0"/>
    <xf numFmtId="0" fontId="28" fillId="0" borderId="0" applyNumberFormat="0" applyFill="0" applyBorder="0" applyAlignment="0" applyProtection="0"/>
    <xf numFmtId="9" fontId="26" fillId="0" borderId="0" applyFont="0" applyFill="0" applyBorder="0" applyAlignment="0" applyProtection="0"/>
  </cellStyleXfs>
  <cellXfs count="506">
    <xf numFmtId="0" fontId="0" fillId="0" borderId="0" xfId="0"/>
    <xf numFmtId="0" fontId="0" fillId="0" borderId="0" xfId="0" applyAlignment="1">
      <alignment horizontal="center"/>
    </xf>
    <xf numFmtId="0" fontId="28" fillId="0" borderId="0" xfId="1"/>
    <xf numFmtId="0" fontId="29" fillId="0" borderId="1" xfId="0" applyFont="1" applyBorder="1" applyAlignment="1">
      <alignment horizontal="center"/>
    </xf>
    <xf numFmtId="165" fontId="0" fillId="0" borderId="0" xfId="0" applyNumberFormat="1"/>
    <xf numFmtId="0" fontId="31" fillId="0" borderId="0" xfId="0" applyFont="1"/>
    <xf numFmtId="0" fontId="31" fillId="0" borderId="1" xfId="0" applyFont="1" applyBorder="1" applyAlignment="1">
      <alignment horizontal="center"/>
    </xf>
    <xf numFmtId="1" fontId="0" fillId="0" borderId="0" xfId="0" applyNumberFormat="1"/>
    <xf numFmtId="0" fontId="35" fillId="8" borderId="59" xfId="0" applyFont="1" applyFill="1" applyBorder="1" applyAlignment="1">
      <alignment horizontal="center"/>
    </xf>
    <xf numFmtId="0" fontId="0" fillId="0" borderId="0" xfId="0" applyBorder="1"/>
    <xf numFmtId="0" fontId="35" fillId="8" borderId="7" xfId="0" applyFont="1" applyFill="1" applyBorder="1" applyAlignment="1">
      <alignment horizontal="center"/>
    </xf>
    <xf numFmtId="0" fontId="40" fillId="8" borderId="64" xfId="0" applyFont="1" applyFill="1" applyBorder="1" applyAlignment="1">
      <alignment horizontal="center"/>
    </xf>
    <xf numFmtId="1" fontId="31" fillId="9" borderId="1" xfId="0" applyNumberFormat="1" applyFont="1" applyFill="1" applyBorder="1" applyAlignment="1">
      <alignment horizontal="center"/>
    </xf>
    <xf numFmtId="0" fontId="0" fillId="10" borderId="0" xfId="0" applyFill="1"/>
    <xf numFmtId="0" fontId="41" fillId="9" borderId="1" xfId="0" applyFont="1" applyFill="1" applyBorder="1" applyAlignment="1">
      <alignment horizontal="center"/>
    </xf>
    <xf numFmtId="0" fontId="42" fillId="9" borderId="62" xfId="0" applyFont="1" applyFill="1" applyBorder="1" applyAlignment="1">
      <alignment horizontal="left" vertical="center"/>
    </xf>
    <xf numFmtId="0" fontId="33" fillId="9" borderId="65" xfId="0" applyFont="1" applyFill="1" applyBorder="1" applyAlignment="1">
      <alignment horizontal="center"/>
    </xf>
    <xf numFmtId="0" fontId="31" fillId="10" borderId="0" xfId="0" applyFont="1" applyFill="1"/>
    <xf numFmtId="0" fontId="4" fillId="0" borderId="0" xfId="0" applyFont="1" applyAlignment="1">
      <alignment horizontal="center"/>
    </xf>
    <xf numFmtId="0" fontId="11" fillId="0" borderId="0" xfId="0" applyFont="1" applyAlignment="1">
      <alignment horizontal="center"/>
    </xf>
    <xf numFmtId="0" fontId="13" fillId="2" borderId="12" xfId="0" applyFont="1" applyFill="1" applyBorder="1" applyAlignment="1">
      <alignment horizontal="center"/>
    </xf>
    <xf numFmtId="169" fontId="31" fillId="2" borderId="12" xfId="0" applyNumberFormat="1" applyFont="1" applyFill="1" applyBorder="1" applyAlignment="1">
      <alignment horizontal="center"/>
    </xf>
    <xf numFmtId="0" fontId="2" fillId="0" borderId="12" xfId="0" applyFont="1" applyBorder="1" applyAlignment="1">
      <alignment horizontal="center"/>
    </xf>
    <xf numFmtId="0" fontId="7" fillId="11" borderId="13" xfId="0" applyFont="1" applyFill="1" applyBorder="1" applyAlignment="1">
      <alignment horizontal="center"/>
    </xf>
    <xf numFmtId="0" fontId="3" fillId="0" borderId="0" xfId="0" applyFont="1" applyAlignment="1">
      <alignment horizontal="right"/>
    </xf>
    <xf numFmtId="0" fontId="4" fillId="12" borderId="14" xfId="0" applyFont="1" applyFill="1" applyBorder="1" applyAlignment="1">
      <alignment horizontal="center"/>
    </xf>
    <xf numFmtId="0" fontId="4" fillId="12" borderId="15" xfId="0" applyFont="1" applyFill="1" applyBorder="1" applyAlignment="1">
      <alignment horizontal="center"/>
    </xf>
    <xf numFmtId="0" fontId="7" fillId="11" borderId="16" xfId="0" applyFont="1" applyFill="1" applyBorder="1" applyAlignment="1">
      <alignment horizontal="center"/>
    </xf>
    <xf numFmtId="0" fontId="4" fillId="12" borderId="17" xfId="0" applyFont="1" applyFill="1" applyBorder="1" applyAlignment="1">
      <alignment horizontal="center"/>
    </xf>
    <xf numFmtId="0" fontId="4" fillId="12" borderId="18" xfId="0" applyFont="1" applyFill="1" applyBorder="1" applyAlignment="1">
      <alignment horizontal="center"/>
    </xf>
    <xf numFmtId="0" fontId="6" fillId="2" borderId="19" xfId="0" applyFont="1" applyFill="1" applyBorder="1" applyAlignment="1">
      <alignment horizontal="center"/>
    </xf>
    <xf numFmtId="0" fontId="35" fillId="2" borderId="20" xfId="0" applyFont="1" applyFill="1" applyBorder="1" applyAlignment="1">
      <alignment horizontal="center"/>
    </xf>
    <xf numFmtId="1" fontId="35" fillId="2" borderId="20" xfId="0" applyNumberFormat="1" applyFont="1" applyFill="1" applyBorder="1" applyAlignment="1">
      <alignment horizontal="center"/>
    </xf>
    <xf numFmtId="0" fontId="6" fillId="2" borderId="21" xfId="0" applyFont="1" applyFill="1" applyBorder="1" applyAlignment="1">
      <alignment horizontal="center"/>
    </xf>
    <xf numFmtId="1" fontId="31" fillId="2" borderId="22" xfId="0" applyNumberFormat="1" applyFont="1" applyFill="1" applyBorder="1" applyAlignment="1">
      <alignment horizontal="center"/>
    </xf>
    <xf numFmtId="1" fontId="35" fillId="2" borderId="23" xfId="0" applyNumberFormat="1" applyFont="1" applyFill="1" applyBorder="1" applyAlignment="1">
      <alignment horizontal="center"/>
    </xf>
    <xf numFmtId="0" fontId="31" fillId="9" borderId="63" xfId="0" applyFont="1" applyFill="1" applyBorder="1" applyAlignment="1">
      <alignment horizontal="left" vertical="center" wrapText="1"/>
    </xf>
    <xf numFmtId="0" fontId="4" fillId="9" borderId="65" xfId="0" applyFont="1" applyFill="1" applyBorder="1" applyAlignment="1">
      <alignment horizontal="center"/>
    </xf>
    <xf numFmtId="0" fontId="40" fillId="0" borderId="0" xfId="0" applyFont="1" applyAlignment="1">
      <alignment horizontal="right"/>
    </xf>
    <xf numFmtId="0" fontId="35" fillId="8" borderId="69" xfId="0" applyFont="1" applyFill="1" applyBorder="1" applyAlignment="1">
      <alignment horizontal="center" vertical="center" wrapText="1"/>
    </xf>
    <xf numFmtId="0" fontId="31" fillId="0" borderId="0" xfId="0" applyFont="1" applyAlignment="1">
      <alignment horizontal="right"/>
    </xf>
    <xf numFmtId="0" fontId="31" fillId="8" borderId="1" xfId="0" applyFont="1" applyFill="1" applyBorder="1" applyAlignment="1">
      <alignment horizontal="center"/>
    </xf>
    <xf numFmtId="0" fontId="33" fillId="8" borderId="3" xfId="0" applyFont="1" applyFill="1" applyBorder="1" applyAlignment="1">
      <alignment horizontal="center"/>
    </xf>
    <xf numFmtId="0" fontId="40" fillId="8" borderId="1" xfId="0" applyFont="1" applyFill="1" applyBorder="1" applyAlignment="1">
      <alignment horizontal="center"/>
    </xf>
    <xf numFmtId="0" fontId="4" fillId="8" borderId="3" xfId="0" applyFont="1" applyFill="1" applyBorder="1" applyAlignment="1">
      <alignment horizontal="center"/>
    </xf>
    <xf numFmtId="0" fontId="31" fillId="8" borderId="3" xfId="0" applyFont="1" applyFill="1" applyBorder="1" applyAlignment="1">
      <alignment horizontal="center"/>
    </xf>
    <xf numFmtId="0" fontId="0" fillId="10" borderId="0" xfId="0" applyFill="1" applyAlignment="1">
      <alignment horizontal="center"/>
    </xf>
    <xf numFmtId="0" fontId="44" fillId="8" borderId="70" xfId="0" applyFont="1" applyFill="1" applyBorder="1" applyAlignment="1">
      <alignment horizontal="center"/>
    </xf>
    <xf numFmtId="0" fontId="44" fillId="8" borderId="71" xfId="0" applyFont="1" applyFill="1" applyBorder="1" applyAlignment="1">
      <alignment horizontal="center"/>
    </xf>
    <xf numFmtId="0" fontId="46" fillId="8" borderId="72" xfId="0" applyFont="1" applyFill="1" applyBorder="1" applyAlignment="1">
      <alignment horizontal="center"/>
    </xf>
    <xf numFmtId="0" fontId="46" fillId="9" borderId="73" xfId="0" applyFont="1" applyFill="1" applyBorder="1" applyAlignment="1">
      <alignment horizontal="center"/>
    </xf>
    <xf numFmtId="0" fontId="47" fillId="8" borderId="74" xfId="0" applyFont="1" applyFill="1" applyBorder="1" applyAlignment="1">
      <alignment horizontal="center"/>
    </xf>
    <xf numFmtId="0" fontId="47" fillId="8" borderId="75" xfId="0" applyFont="1" applyFill="1" applyBorder="1" applyAlignment="1">
      <alignment horizontal="center"/>
    </xf>
    <xf numFmtId="0" fontId="48" fillId="8" borderId="76" xfId="0" applyFont="1" applyFill="1" applyBorder="1" applyAlignment="1">
      <alignment horizontal="center"/>
    </xf>
    <xf numFmtId="1" fontId="49" fillId="9" borderId="77" xfId="0" applyNumberFormat="1" applyFont="1" applyFill="1" applyBorder="1" applyAlignment="1">
      <alignment horizontal="center"/>
    </xf>
    <xf numFmtId="0" fontId="48" fillId="9" borderId="78" xfId="0" applyFont="1" applyFill="1" applyBorder="1" applyAlignment="1">
      <alignment horizontal="center"/>
    </xf>
    <xf numFmtId="1" fontId="44" fillId="9" borderId="79" xfId="0" applyNumberFormat="1" applyFont="1" applyFill="1" applyBorder="1" applyAlignment="1">
      <alignment horizontal="center"/>
    </xf>
    <xf numFmtId="0" fontId="0" fillId="10" borderId="0" xfId="0" applyFill="1" applyBorder="1"/>
    <xf numFmtId="0" fontId="35" fillId="10" borderId="0" xfId="0" applyFont="1" applyFill="1" applyBorder="1" applyAlignment="1">
      <alignment horizontal="center"/>
    </xf>
    <xf numFmtId="0" fontId="50" fillId="8" borderId="1" xfId="0" applyFont="1" applyFill="1" applyBorder="1" applyAlignment="1">
      <alignment horizontal="center"/>
    </xf>
    <xf numFmtId="166" fontId="49" fillId="8" borderId="1" xfId="0" applyNumberFormat="1" applyFont="1" applyFill="1" applyBorder="1" applyAlignment="1">
      <alignment horizontal="center"/>
    </xf>
    <xf numFmtId="0" fontId="8" fillId="8" borderId="1" xfId="0" applyFont="1" applyFill="1" applyBorder="1" applyAlignment="1">
      <alignment horizontal="center"/>
    </xf>
    <xf numFmtId="0" fontId="49" fillId="8" borderId="1" xfId="0" applyFont="1" applyFill="1" applyBorder="1" applyAlignment="1">
      <alignment horizontal="center"/>
    </xf>
    <xf numFmtId="0" fontId="48" fillId="8" borderId="1" xfId="0" applyFont="1" applyFill="1" applyBorder="1" applyAlignment="1">
      <alignment horizontal="center"/>
    </xf>
    <xf numFmtId="0" fontId="51" fillId="8" borderId="1" xfId="0" applyFont="1" applyFill="1" applyBorder="1" applyAlignment="1">
      <alignment horizontal="center"/>
    </xf>
    <xf numFmtId="166" fontId="43" fillId="8" borderId="1" xfId="0" applyNumberFormat="1" applyFont="1" applyFill="1" applyBorder="1" applyAlignment="1">
      <alignment horizontal="center"/>
    </xf>
    <xf numFmtId="1" fontId="43" fillId="8" borderId="1" xfId="0" applyNumberFormat="1" applyFont="1" applyFill="1" applyBorder="1" applyAlignment="1">
      <alignment horizontal="center"/>
    </xf>
    <xf numFmtId="1" fontId="9" fillId="8" borderId="1" xfId="0" applyNumberFormat="1" applyFont="1" applyFill="1" applyBorder="1" applyAlignment="1">
      <alignment horizontal="center"/>
    </xf>
    <xf numFmtId="0" fontId="31" fillId="10" borderId="0" xfId="0" applyFont="1" applyFill="1" applyBorder="1"/>
    <xf numFmtId="0" fontId="31" fillId="10" borderId="0" xfId="0" applyFont="1" applyFill="1" applyBorder="1" applyAlignment="1">
      <alignment horizontal="center"/>
    </xf>
    <xf numFmtId="0" fontId="49" fillId="10" borderId="0" xfId="0" applyFont="1" applyFill="1" applyBorder="1" applyAlignment="1">
      <alignment horizontal="center"/>
    </xf>
    <xf numFmtId="0" fontId="4" fillId="0" borderId="0" xfId="0" applyFont="1" applyAlignment="1">
      <alignment horizontal="right"/>
    </xf>
    <xf numFmtId="0" fontId="47" fillId="0" borderId="0" xfId="0" applyFont="1" applyAlignment="1">
      <alignment horizontal="right"/>
    </xf>
    <xf numFmtId="0" fontId="51" fillId="0" borderId="0" xfId="0" applyFont="1" applyAlignment="1">
      <alignment horizontal="right"/>
    </xf>
    <xf numFmtId="0" fontId="46" fillId="0" borderId="0" xfId="0" applyFont="1" applyAlignment="1">
      <alignment horizontal="right"/>
    </xf>
    <xf numFmtId="0" fontId="0" fillId="13" borderId="0" xfId="0" applyFill="1"/>
    <xf numFmtId="0" fontId="38" fillId="10" borderId="0" xfId="0" applyFont="1" applyFill="1" applyBorder="1" applyAlignment="1">
      <alignment horizontal="center" vertical="center" wrapText="1"/>
    </xf>
    <xf numFmtId="0" fontId="42" fillId="10" borderId="0" xfId="0" applyFont="1" applyFill="1" applyBorder="1"/>
    <xf numFmtId="0" fontId="48" fillId="10" borderId="0" xfId="0" applyFont="1" applyFill="1" applyBorder="1"/>
    <xf numFmtId="0" fontId="40" fillId="10" borderId="0" xfId="0" applyFont="1" applyFill="1" applyBorder="1"/>
    <xf numFmtId="0" fontId="38" fillId="10" borderId="0" xfId="0" applyFont="1" applyFill="1" applyBorder="1" applyAlignment="1">
      <alignment horizontal="center"/>
    </xf>
    <xf numFmtId="0" fontId="53" fillId="10" borderId="0" xfId="0" applyFont="1" applyFill="1" applyBorder="1" applyAlignment="1">
      <alignment horizontal="center"/>
    </xf>
    <xf numFmtId="0" fontId="38" fillId="10" borderId="0" xfId="0" applyFont="1" applyFill="1" applyBorder="1"/>
    <xf numFmtId="1" fontId="31" fillId="10" borderId="0" xfId="0" applyNumberFormat="1" applyFont="1" applyFill="1" applyBorder="1"/>
    <xf numFmtId="1" fontId="0" fillId="10" borderId="0" xfId="0" applyNumberFormat="1" applyFill="1"/>
    <xf numFmtId="0" fontId="29" fillId="10" borderId="0" xfId="0" applyFont="1" applyFill="1"/>
    <xf numFmtId="0" fontId="54" fillId="4" borderId="0" xfId="0" applyFont="1" applyFill="1"/>
    <xf numFmtId="0" fontId="55" fillId="4" borderId="0" xfId="0" applyFont="1" applyFill="1" applyBorder="1" applyAlignment="1">
      <alignment horizontal="center"/>
    </xf>
    <xf numFmtId="0" fontId="43" fillId="2" borderId="12" xfId="0" applyFont="1" applyFill="1" applyBorder="1" applyAlignment="1">
      <alignment horizontal="center"/>
    </xf>
    <xf numFmtId="0" fontId="56" fillId="10" borderId="0" xfId="1" applyFont="1" applyFill="1" applyAlignment="1">
      <alignment vertical="center"/>
    </xf>
    <xf numFmtId="0" fontId="6" fillId="0" borderId="1" xfId="0" applyFont="1" applyBorder="1" applyAlignment="1">
      <alignment horizontal="center"/>
    </xf>
    <xf numFmtId="0" fontId="14" fillId="0" borderId="1" xfId="0" applyFont="1" applyBorder="1" applyAlignment="1">
      <alignment horizontal="center"/>
    </xf>
    <xf numFmtId="0" fontId="14" fillId="4" borderId="1" xfId="0" applyFont="1" applyFill="1" applyBorder="1" applyAlignment="1">
      <alignment horizontal="center"/>
    </xf>
    <xf numFmtId="0" fontId="46" fillId="0" borderId="0" xfId="0" applyFont="1" applyAlignment="1">
      <alignment horizontal="center"/>
    </xf>
    <xf numFmtId="0" fontId="11" fillId="11" borderId="0" xfId="0" applyFont="1" applyFill="1" applyAlignment="1">
      <alignment horizontal="center"/>
    </xf>
    <xf numFmtId="0" fontId="57" fillId="11" borderId="0" xfId="0" applyFont="1" applyFill="1" applyAlignment="1">
      <alignment horizontal="center"/>
    </xf>
    <xf numFmtId="1" fontId="58" fillId="11" borderId="0" xfId="0" applyNumberFormat="1" applyFont="1" applyFill="1" applyAlignment="1">
      <alignment horizontal="center"/>
    </xf>
    <xf numFmtId="0" fontId="0" fillId="7" borderId="0" xfId="0" applyFill="1"/>
    <xf numFmtId="0" fontId="16" fillId="0" borderId="1" xfId="0" applyFont="1" applyBorder="1" applyAlignment="1">
      <alignment horizontal="center"/>
    </xf>
    <xf numFmtId="0" fontId="18" fillId="0" borderId="1" xfId="0" applyFont="1" applyBorder="1" applyAlignment="1">
      <alignment horizontal="center"/>
    </xf>
    <xf numFmtId="0" fontId="20" fillId="0" borderId="1" xfId="0" applyFont="1" applyBorder="1" applyAlignment="1">
      <alignment horizontal="center"/>
    </xf>
    <xf numFmtId="0" fontId="20" fillId="4" borderId="1" xfId="0" applyFont="1" applyFill="1" applyBorder="1" applyAlignment="1">
      <alignment horizontal="center"/>
    </xf>
    <xf numFmtId="0" fontId="20" fillId="3" borderId="1" xfId="0" applyFont="1" applyFill="1" applyBorder="1" applyAlignment="1">
      <alignment horizontal="center"/>
    </xf>
    <xf numFmtId="1" fontId="59" fillId="7" borderId="0" xfId="0" applyNumberFormat="1" applyFont="1" applyFill="1" applyAlignment="1">
      <alignment horizontal="center"/>
    </xf>
    <xf numFmtId="0" fontId="60" fillId="7" borderId="0" xfId="0" applyFont="1" applyFill="1" applyAlignment="1">
      <alignment horizontal="center"/>
    </xf>
    <xf numFmtId="0" fontId="0" fillId="13" borderId="0" xfId="0" applyFill="1" applyAlignment="1">
      <alignment horizontal="center"/>
    </xf>
    <xf numFmtId="0" fontId="43" fillId="7" borderId="0" xfId="0" applyFont="1" applyFill="1" applyAlignment="1">
      <alignment horizontal="center"/>
    </xf>
    <xf numFmtId="0" fontId="44" fillId="7" borderId="0" xfId="0" applyFont="1" applyFill="1" applyAlignment="1">
      <alignment horizontal="center"/>
    </xf>
    <xf numFmtId="1" fontId="44" fillId="7" borderId="0" xfId="0" applyNumberFormat="1" applyFont="1" applyFill="1" applyAlignment="1">
      <alignment horizontal="center"/>
    </xf>
    <xf numFmtId="0" fontId="61" fillId="7" borderId="0" xfId="0" applyFont="1" applyFill="1" applyAlignment="1">
      <alignment horizontal="center"/>
    </xf>
    <xf numFmtId="0" fontId="62" fillId="0" borderId="0" xfId="0" applyFont="1"/>
    <xf numFmtId="0" fontId="63" fillId="0" borderId="0" xfId="0" applyFont="1"/>
    <xf numFmtId="0" fontId="64" fillId="0" borderId="0" xfId="0" applyFont="1"/>
    <xf numFmtId="0" fontId="65" fillId="0" borderId="0" xfId="0" applyFont="1"/>
    <xf numFmtId="0" fontId="46" fillId="0" borderId="0" xfId="0" applyFont="1"/>
    <xf numFmtId="0" fontId="57" fillId="0" borderId="1" xfId="0" applyFont="1" applyBorder="1" applyAlignment="1">
      <alignment horizontal="center"/>
    </xf>
    <xf numFmtId="0" fontId="46" fillId="0" borderId="1" xfId="0" applyFont="1" applyBorder="1" applyAlignment="1">
      <alignment horizontal="center"/>
    </xf>
    <xf numFmtId="0" fontId="0" fillId="0" borderId="36" xfId="0" applyBorder="1"/>
    <xf numFmtId="1" fontId="43" fillId="0" borderId="37" xfId="0" applyNumberFormat="1" applyFont="1" applyBorder="1" applyAlignment="1">
      <alignment horizontal="center"/>
    </xf>
    <xf numFmtId="1" fontId="46" fillId="0" borderId="37" xfId="0" applyNumberFormat="1" applyFont="1" applyBorder="1" applyAlignment="1">
      <alignment horizontal="center"/>
    </xf>
    <xf numFmtId="0" fontId="46" fillId="0" borderId="38" xfId="0" applyFont="1" applyBorder="1" applyAlignment="1">
      <alignment horizontal="center"/>
    </xf>
    <xf numFmtId="0" fontId="45" fillId="4" borderId="0" xfId="0" applyFont="1" applyFill="1" applyBorder="1" applyAlignment="1">
      <alignment horizontal="center"/>
    </xf>
    <xf numFmtId="0" fontId="66" fillId="0" borderId="37" xfId="0" applyFont="1" applyBorder="1" applyAlignment="1">
      <alignment horizontal="center"/>
    </xf>
    <xf numFmtId="0" fontId="67" fillId="4" borderId="0" xfId="0" applyFont="1" applyFill="1" applyBorder="1" applyAlignment="1">
      <alignment horizontal="right"/>
    </xf>
    <xf numFmtId="0" fontId="51" fillId="0" borderId="1" xfId="0" applyFont="1" applyBorder="1" applyAlignment="1">
      <alignment horizontal="center"/>
    </xf>
    <xf numFmtId="0" fontId="51" fillId="2" borderId="1" xfId="0" applyFont="1" applyFill="1" applyBorder="1" applyAlignment="1">
      <alignment horizontal="center"/>
    </xf>
    <xf numFmtId="0" fontId="40" fillId="0" borderId="1" xfId="0" applyFont="1" applyBorder="1" applyAlignment="1">
      <alignment horizontal="center"/>
    </xf>
    <xf numFmtId="0" fontId="51" fillId="3" borderId="1" xfId="0" applyFont="1" applyFill="1" applyBorder="1" applyAlignment="1">
      <alignment horizontal="center"/>
    </xf>
    <xf numFmtId="0" fontId="57" fillId="14" borderId="1" xfId="0" applyFont="1" applyFill="1" applyBorder="1" applyAlignment="1">
      <alignment horizontal="center"/>
    </xf>
    <xf numFmtId="0" fontId="51" fillId="4" borderId="1" xfId="0" applyFont="1" applyFill="1" applyBorder="1" applyAlignment="1">
      <alignment horizontal="center"/>
    </xf>
    <xf numFmtId="0" fontId="51" fillId="10" borderId="1" xfId="0" applyFont="1" applyFill="1" applyBorder="1" applyAlignment="1">
      <alignment horizontal="center"/>
    </xf>
    <xf numFmtId="0" fontId="67" fillId="4" borderId="35" xfId="0" applyFont="1" applyFill="1" applyBorder="1" applyAlignment="1">
      <alignment horizontal="center"/>
    </xf>
    <xf numFmtId="0" fontId="37" fillId="0" borderId="36" xfId="0" applyFont="1" applyBorder="1" applyAlignment="1">
      <alignment horizontal="left"/>
    </xf>
    <xf numFmtId="0" fontId="31" fillId="8" borderId="39" xfId="0" applyFont="1" applyFill="1" applyBorder="1" applyAlignment="1">
      <alignment horizontal="center"/>
    </xf>
    <xf numFmtId="0" fontId="68" fillId="0" borderId="10" xfId="0" applyFont="1" applyBorder="1" applyAlignment="1">
      <alignment horizontal="center"/>
    </xf>
    <xf numFmtId="1" fontId="57" fillId="0" borderId="10" xfId="0" applyNumberFormat="1" applyFont="1" applyBorder="1" applyAlignment="1">
      <alignment horizontal="center"/>
    </xf>
    <xf numFmtId="1" fontId="69" fillId="0" borderId="10" xfId="0" applyNumberFormat="1" applyFont="1" applyBorder="1" applyAlignment="1">
      <alignment horizontal="center"/>
    </xf>
    <xf numFmtId="0" fontId="66" fillId="0" borderId="2" xfId="0" applyFont="1" applyBorder="1" applyAlignment="1">
      <alignment horizontal="center"/>
    </xf>
    <xf numFmtId="1" fontId="43" fillId="0" borderId="2" xfId="0" applyNumberFormat="1" applyFont="1" applyBorder="1" applyAlignment="1">
      <alignment horizontal="center"/>
    </xf>
    <xf numFmtId="1" fontId="46" fillId="0" borderId="2" xfId="0" applyNumberFormat="1" applyFont="1" applyBorder="1" applyAlignment="1">
      <alignment horizontal="center"/>
    </xf>
    <xf numFmtId="0" fontId="31" fillId="8" borderId="40" xfId="0" applyFont="1" applyFill="1" applyBorder="1" applyAlignment="1">
      <alignment horizontal="center"/>
    </xf>
    <xf numFmtId="0" fontId="69" fillId="0" borderId="41" xfId="0" applyFont="1" applyBorder="1" applyAlignment="1">
      <alignment horizontal="center"/>
    </xf>
    <xf numFmtId="0" fontId="31" fillId="8" borderId="42" xfId="0" applyFont="1" applyFill="1" applyBorder="1" applyAlignment="1">
      <alignment horizontal="center"/>
    </xf>
    <xf numFmtId="0" fontId="46" fillId="0" borderId="43" xfId="0" applyFont="1" applyBorder="1" applyAlignment="1">
      <alignment horizontal="center"/>
    </xf>
    <xf numFmtId="0" fontId="29" fillId="6" borderId="1" xfId="0" applyFont="1" applyFill="1" applyBorder="1" applyAlignment="1">
      <alignment horizontal="center"/>
    </xf>
    <xf numFmtId="0" fontId="31" fillId="8" borderId="61" xfId="0" applyFont="1" applyFill="1" applyBorder="1"/>
    <xf numFmtId="0" fontId="31" fillId="8" borderId="80" xfId="0" applyFont="1" applyFill="1" applyBorder="1"/>
    <xf numFmtId="0" fontId="73" fillId="0" borderId="52" xfId="0" applyFont="1" applyFill="1" applyBorder="1" applyAlignment="1">
      <alignment horizontal="center"/>
    </xf>
    <xf numFmtId="0" fontId="73" fillId="0" borderId="53" xfId="0" applyFont="1" applyFill="1" applyBorder="1" applyAlignment="1">
      <alignment horizontal="center"/>
    </xf>
    <xf numFmtId="0" fontId="73" fillId="2" borderId="54" xfId="0" applyFont="1" applyFill="1" applyBorder="1" applyAlignment="1">
      <alignment horizontal="center"/>
    </xf>
    <xf numFmtId="0" fontId="31" fillId="0" borderId="0" xfId="0" applyFont="1" applyAlignment="1">
      <alignment horizontal="center"/>
    </xf>
    <xf numFmtId="0" fontId="31" fillId="12" borderId="17" xfId="0" applyFont="1" applyFill="1" applyBorder="1" applyAlignment="1">
      <alignment horizontal="center"/>
    </xf>
    <xf numFmtId="0" fontId="31" fillId="12" borderId="18" xfId="0" applyFont="1" applyFill="1" applyBorder="1" applyAlignment="1">
      <alignment horizontal="center"/>
    </xf>
    <xf numFmtId="0" fontId="4" fillId="0" borderId="19" xfId="0" applyFont="1" applyBorder="1" applyAlignment="1">
      <alignment horizontal="center"/>
    </xf>
    <xf numFmtId="1" fontId="2" fillId="15" borderId="20" xfId="0" applyNumberFormat="1" applyFont="1" applyFill="1" applyBorder="1" applyAlignment="1">
      <alignment horizontal="center"/>
    </xf>
    <xf numFmtId="0" fontId="49" fillId="17" borderId="22" xfId="0" applyFont="1" applyFill="1" applyBorder="1" applyAlignment="1">
      <alignment horizontal="center"/>
    </xf>
    <xf numFmtId="0" fontId="76" fillId="17" borderId="22" xfId="0" applyFont="1" applyFill="1" applyBorder="1" applyAlignment="1">
      <alignment horizontal="center"/>
    </xf>
    <xf numFmtId="0" fontId="5" fillId="18" borderId="81" xfId="0" applyFont="1" applyFill="1" applyBorder="1" applyAlignment="1">
      <alignment horizontal="center"/>
    </xf>
    <xf numFmtId="0" fontId="15" fillId="18" borderId="68" xfId="0" applyFont="1" applyFill="1" applyBorder="1" applyAlignment="1">
      <alignment horizontal="center"/>
    </xf>
    <xf numFmtId="0" fontId="23" fillId="10" borderId="66" xfId="0" applyFont="1" applyFill="1" applyBorder="1" applyAlignment="1">
      <alignment horizontal="center"/>
    </xf>
    <xf numFmtId="0" fontId="24" fillId="10" borderId="67" xfId="0" applyFont="1" applyFill="1" applyBorder="1" applyAlignment="1">
      <alignment horizontal="center"/>
    </xf>
    <xf numFmtId="0" fontId="23" fillId="5" borderId="66" xfId="0" applyFont="1" applyFill="1" applyBorder="1" applyAlignment="1">
      <alignment horizontal="center"/>
    </xf>
    <xf numFmtId="0" fontId="23" fillId="19" borderId="81" xfId="0" applyFont="1" applyFill="1" applyBorder="1" applyAlignment="1">
      <alignment horizontal="center"/>
    </xf>
    <xf numFmtId="0" fontId="24" fillId="19" borderId="68" xfId="0" applyFont="1" applyFill="1" applyBorder="1" applyAlignment="1">
      <alignment horizontal="center"/>
    </xf>
    <xf numFmtId="1" fontId="73" fillId="2" borderId="55" xfId="0" applyNumberFormat="1" applyFont="1" applyFill="1" applyBorder="1" applyAlignment="1">
      <alignment horizontal="center"/>
    </xf>
    <xf numFmtId="1" fontId="73" fillId="15" borderId="55" xfId="0" applyNumberFormat="1" applyFont="1" applyFill="1" applyBorder="1" applyAlignment="1">
      <alignment horizontal="center"/>
    </xf>
    <xf numFmtId="0" fontId="10" fillId="18" borderId="82" xfId="0" applyFont="1" applyFill="1" applyBorder="1" applyAlignment="1">
      <alignment horizontal="center"/>
    </xf>
    <xf numFmtId="0" fontId="15" fillId="10" borderId="0" xfId="0" applyFont="1" applyFill="1" applyBorder="1" applyAlignment="1">
      <alignment horizontal="center"/>
    </xf>
    <xf numFmtId="0" fontId="15" fillId="5" borderId="0" xfId="0" applyFont="1" applyFill="1" applyBorder="1" applyAlignment="1">
      <alignment horizontal="center"/>
    </xf>
    <xf numFmtId="0" fontId="15" fillId="4" borderId="82" xfId="0" applyFont="1" applyFill="1" applyBorder="1" applyAlignment="1">
      <alignment horizontal="center"/>
    </xf>
    <xf numFmtId="0" fontId="34" fillId="8" borderId="60" xfId="0" applyFont="1" applyFill="1" applyBorder="1"/>
    <xf numFmtId="0" fontId="77" fillId="2" borderId="53" xfId="0" applyFont="1" applyFill="1" applyBorder="1" applyAlignment="1">
      <alignment horizontal="center"/>
    </xf>
    <xf numFmtId="0" fontId="70" fillId="17" borderId="21" xfId="0" applyFont="1" applyFill="1" applyBorder="1" applyAlignment="1">
      <alignment horizontal="center"/>
    </xf>
    <xf numFmtId="0" fontId="48" fillId="2" borderId="54" xfId="0" applyFont="1" applyFill="1" applyBorder="1" applyAlignment="1">
      <alignment horizontal="center"/>
    </xf>
    <xf numFmtId="0" fontId="48" fillId="0" borderId="12" xfId="0" applyFont="1" applyFill="1" applyBorder="1" applyAlignment="1">
      <alignment horizontal="center"/>
    </xf>
    <xf numFmtId="0" fontId="48" fillId="0" borderId="54" xfId="0" applyFont="1" applyFill="1" applyBorder="1" applyAlignment="1">
      <alignment horizontal="center"/>
    </xf>
    <xf numFmtId="0" fontId="41" fillId="10" borderId="0" xfId="0" applyFont="1" applyFill="1" applyBorder="1"/>
    <xf numFmtId="0" fontId="0" fillId="10" borderId="0" xfId="0" applyFill="1" applyBorder="1" applyAlignment="1">
      <alignment horizontal="center"/>
    </xf>
    <xf numFmtId="10" fontId="71" fillId="10" borderId="0" xfId="2" applyNumberFormat="1" applyFont="1" applyFill="1" applyBorder="1" applyAlignment="1">
      <alignment horizontal="center"/>
    </xf>
    <xf numFmtId="0" fontId="78" fillId="10" borderId="0" xfId="0" applyFont="1" applyFill="1" applyBorder="1" applyAlignment="1">
      <alignment horizontal="center" vertical="center" wrapText="1"/>
    </xf>
    <xf numFmtId="0" fontId="35" fillId="10" borderId="0" xfId="0" applyFont="1" applyFill="1" applyBorder="1"/>
    <xf numFmtId="168" fontId="26" fillId="10" borderId="0" xfId="2" applyNumberFormat="1" applyFont="1" applyFill="1" applyBorder="1" applyAlignment="1">
      <alignment horizontal="center"/>
    </xf>
    <xf numFmtId="10" fontId="26" fillId="10" borderId="0" xfId="2" applyNumberFormat="1" applyFont="1" applyFill="1" applyBorder="1" applyAlignment="1">
      <alignment horizontal="center"/>
    </xf>
    <xf numFmtId="168" fontId="71" fillId="10" borderId="0" xfId="2" applyNumberFormat="1" applyFont="1" applyFill="1" applyBorder="1" applyAlignment="1">
      <alignment horizontal="center"/>
    </xf>
    <xf numFmtId="0" fontId="35" fillId="8" borderId="6" xfId="0" applyFont="1" applyFill="1" applyBorder="1" applyAlignment="1">
      <alignment horizontal="center"/>
    </xf>
    <xf numFmtId="10" fontId="26" fillId="0" borderId="0" xfId="2" applyNumberFormat="1" applyFont="1" applyAlignment="1">
      <alignment horizontal="center"/>
    </xf>
    <xf numFmtId="0" fontId="31" fillId="18" borderId="6" xfId="0" applyFont="1" applyFill="1" applyBorder="1" applyAlignment="1">
      <alignment horizontal="center"/>
    </xf>
    <xf numFmtId="0" fontId="31" fillId="20" borderId="6" xfId="0" applyFont="1" applyFill="1" applyBorder="1" applyAlignment="1">
      <alignment horizontal="center"/>
    </xf>
    <xf numFmtId="0" fontId="31" fillId="0" borderId="0" xfId="0" applyFont="1" applyBorder="1" applyAlignment="1">
      <alignment horizontal="center" vertical="center"/>
    </xf>
    <xf numFmtId="0" fontId="45" fillId="8" borderId="49" xfId="0" applyFont="1" applyFill="1" applyBorder="1"/>
    <xf numFmtId="0" fontId="45" fillId="8" borderId="50" xfId="0" applyFont="1" applyFill="1" applyBorder="1"/>
    <xf numFmtId="0" fontId="45" fillId="0" borderId="0" xfId="0" applyFont="1"/>
    <xf numFmtId="0" fontId="45" fillId="18" borderId="49" xfId="0" applyFont="1" applyFill="1" applyBorder="1"/>
    <xf numFmtId="0" fontId="45" fillId="18" borderId="50" xfId="0" applyFont="1" applyFill="1" applyBorder="1"/>
    <xf numFmtId="0" fontId="45" fillId="20" borderId="49" xfId="0" applyFont="1" applyFill="1" applyBorder="1"/>
    <xf numFmtId="0" fontId="45" fillId="20" borderId="50" xfId="0" applyFont="1" applyFill="1" applyBorder="1"/>
    <xf numFmtId="0" fontId="31" fillId="0" borderId="0" xfId="0" applyFont="1" applyBorder="1" applyAlignment="1">
      <alignment horizontal="center"/>
    </xf>
    <xf numFmtId="0" fontId="35" fillId="4" borderId="51" xfId="0" applyFont="1" applyFill="1" applyBorder="1" applyAlignment="1">
      <alignment horizontal="center" vertical="center"/>
    </xf>
    <xf numFmtId="9" fontId="38" fillId="4" borderId="30" xfId="2" applyFont="1" applyFill="1" applyBorder="1" applyAlignment="1">
      <alignment horizontal="center"/>
    </xf>
    <xf numFmtId="0" fontId="35" fillId="4" borderId="32" xfId="0" applyFont="1" applyFill="1" applyBorder="1" applyAlignment="1">
      <alignment horizontal="center" vertical="center"/>
    </xf>
    <xf numFmtId="10" fontId="35" fillId="4" borderId="51" xfId="2" applyNumberFormat="1" applyFont="1" applyFill="1" applyBorder="1" applyAlignment="1">
      <alignment horizontal="center" vertical="center"/>
    </xf>
    <xf numFmtId="10" fontId="38" fillId="4" borderId="28" xfId="2" applyNumberFormat="1" applyFont="1" applyFill="1" applyBorder="1" applyAlignment="1">
      <alignment horizontal="center"/>
    </xf>
    <xf numFmtId="0" fontId="31" fillId="4" borderId="30" xfId="0" applyFont="1" applyFill="1" applyBorder="1" applyAlignment="1">
      <alignment horizontal="center"/>
    </xf>
    <xf numFmtId="0" fontId="31" fillId="4" borderId="30" xfId="0" applyFont="1" applyFill="1" applyBorder="1"/>
    <xf numFmtId="0" fontId="81" fillId="0" borderId="0" xfId="1" applyFont="1" applyAlignment="1">
      <alignment vertical="top"/>
    </xf>
    <xf numFmtId="0" fontId="0" fillId="0" borderId="6" xfId="0" applyBorder="1" applyAlignment="1">
      <alignment horizontal="center"/>
    </xf>
    <xf numFmtId="0" fontId="49" fillId="8" borderId="8" xfId="0" applyFont="1" applyFill="1" applyBorder="1" applyAlignment="1">
      <alignment horizontal="center"/>
    </xf>
    <xf numFmtId="0" fontId="49" fillId="8" borderId="9" xfId="0" applyFont="1" applyFill="1" applyBorder="1" applyAlignment="1">
      <alignment horizontal="center"/>
    </xf>
    <xf numFmtId="0" fontId="48" fillId="0" borderId="0" xfId="0" applyFont="1"/>
    <xf numFmtId="0" fontId="48" fillId="18" borderId="8" xfId="0" applyFont="1" applyFill="1" applyBorder="1" applyAlignment="1">
      <alignment horizontal="center"/>
    </xf>
    <xf numFmtId="0" fontId="48" fillId="20" borderId="8" xfId="0" applyFont="1" applyFill="1" applyBorder="1" applyAlignment="1">
      <alignment horizontal="center"/>
    </xf>
    <xf numFmtId="0" fontId="52" fillId="8" borderId="24" xfId="0" applyFont="1" applyFill="1" applyBorder="1" applyAlignment="1">
      <alignment horizontal="center"/>
    </xf>
    <xf numFmtId="0" fontId="31" fillId="0" borderId="25" xfId="0" applyFont="1" applyBorder="1"/>
    <xf numFmtId="168" fontId="43" fillId="20" borderId="26" xfId="2" applyNumberFormat="1" applyFont="1" applyFill="1" applyBorder="1" applyAlignment="1">
      <alignment horizontal="center"/>
    </xf>
    <xf numFmtId="0" fontId="43" fillId="8" borderId="48" xfId="0" applyFont="1" applyFill="1" applyBorder="1" applyAlignment="1">
      <alignment horizontal="center"/>
    </xf>
    <xf numFmtId="0" fontId="46" fillId="18" borderId="48" xfId="0" applyFont="1" applyFill="1" applyBorder="1" applyAlignment="1">
      <alignment horizontal="center"/>
    </xf>
    <xf numFmtId="0" fontId="46" fillId="20" borderId="48" xfId="0" applyFont="1" applyFill="1" applyBorder="1" applyAlignment="1">
      <alignment horizontal="center"/>
    </xf>
    <xf numFmtId="0" fontId="71" fillId="0" borderId="1" xfId="0" applyFont="1" applyBorder="1" applyAlignment="1">
      <alignment horizontal="center"/>
    </xf>
    <xf numFmtId="0" fontId="38" fillId="10" borderId="0" xfId="0" applyFont="1" applyFill="1" applyAlignment="1">
      <alignment horizontal="center"/>
    </xf>
    <xf numFmtId="1" fontId="29" fillId="0" borderId="1" xfId="0" applyNumberFormat="1" applyFont="1" applyBorder="1" applyAlignment="1">
      <alignment horizontal="center"/>
    </xf>
    <xf numFmtId="0" fontId="83" fillId="8" borderId="1" xfId="0" applyFont="1" applyFill="1" applyBorder="1" applyAlignment="1">
      <alignment horizontal="center"/>
    </xf>
    <xf numFmtId="0" fontId="0" fillId="0" borderId="45" xfId="0" applyBorder="1"/>
    <xf numFmtId="0" fontId="0" fillId="0" borderId="46" xfId="0" applyBorder="1"/>
    <xf numFmtId="0" fontId="0" fillId="8" borderId="46" xfId="0" applyFill="1" applyBorder="1" applyAlignment="1">
      <alignment horizontal="left"/>
    </xf>
    <xf numFmtId="0" fontId="29" fillId="0" borderId="11" xfId="0" applyFont="1" applyBorder="1" applyAlignment="1">
      <alignment horizontal="center"/>
    </xf>
    <xf numFmtId="0" fontId="29" fillId="0" borderId="39" xfId="0" applyFont="1" applyBorder="1" applyAlignment="1">
      <alignment horizontal="center"/>
    </xf>
    <xf numFmtId="1" fontId="29" fillId="0" borderId="37" xfId="0" applyNumberFormat="1" applyFont="1" applyBorder="1" applyAlignment="1">
      <alignment horizontal="center"/>
    </xf>
    <xf numFmtId="0" fontId="83" fillId="8" borderId="37" xfId="0" applyFont="1" applyFill="1" applyBorder="1" applyAlignment="1">
      <alignment horizontal="center"/>
    </xf>
    <xf numFmtId="0" fontId="71" fillId="0" borderId="11" xfId="0" applyFont="1" applyBorder="1" applyAlignment="1">
      <alignment horizontal="center"/>
    </xf>
    <xf numFmtId="0" fontId="84" fillId="8" borderId="1" xfId="0" applyFont="1" applyFill="1" applyBorder="1" applyAlignment="1">
      <alignment horizontal="center"/>
    </xf>
    <xf numFmtId="0" fontId="27" fillId="8" borderId="44" xfId="0" applyFont="1" applyFill="1" applyBorder="1" applyAlignment="1">
      <alignment horizontal="center"/>
    </xf>
    <xf numFmtId="1" fontId="0" fillId="8" borderId="44" xfId="0" applyNumberFormat="1" applyFont="1" applyFill="1" applyBorder="1" applyAlignment="1">
      <alignment horizontal="center"/>
    </xf>
    <xf numFmtId="1" fontId="0" fillId="8" borderId="38" xfId="0" applyNumberFormat="1" applyFont="1" applyFill="1" applyBorder="1" applyAlignment="1">
      <alignment horizontal="center"/>
    </xf>
    <xf numFmtId="0" fontId="0" fillId="0" borderId="1" xfId="0" applyBorder="1" applyAlignment="1">
      <alignment horizontal="center"/>
    </xf>
    <xf numFmtId="0" fontId="38" fillId="0" borderId="1" xfId="0" applyFont="1" applyBorder="1" applyAlignment="1">
      <alignment horizontal="center"/>
    </xf>
    <xf numFmtId="0" fontId="38" fillId="0" borderId="0" xfId="0" applyFont="1"/>
    <xf numFmtId="0" fontId="38" fillId="4" borderId="1" xfId="0" applyFont="1" applyFill="1" applyBorder="1" applyAlignment="1">
      <alignment horizontal="center"/>
    </xf>
    <xf numFmtId="10" fontId="38" fillId="4" borderId="1" xfId="2" applyNumberFormat="1" applyFont="1" applyFill="1" applyBorder="1" applyAlignment="1">
      <alignment horizontal="center"/>
    </xf>
    <xf numFmtId="1" fontId="41" fillId="4" borderId="1" xfId="0" applyNumberFormat="1" applyFont="1" applyFill="1" applyBorder="1" applyAlignment="1">
      <alignment horizontal="center"/>
    </xf>
    <xf numFmtId="2" fontId="0" fillId="0" borderId="0" xfId="0" applyNumberFormat="1" applyAlignment="1">
      <alignment horizontal="center"/>
    </xf>
    <xf numFmtId="166" fontId="8" fillId="8" borderId="1" xfId="0" applyNumberFormat="1" applyFont="1" applyFill="1" applyBorder="1" applyAlignment="1">
      <alignment horizontal="center"/>
    </xf>
    <xf numFmtId="166" fontId="85" fillId="8" borderId="1" xfId="0" applyNumberFormat="1" applyFont="1" applyFill="1" applyBorder="1" applyAlignment="1">
      <alignment horizontal="center"/>
    </xf>
    <xf numFmtId="0" fontId="21" fillId="4" borderId="0" xfId="0" applyFont="1" applyFill="1" applyBorder="1" applyAlignment="1">
      <alignment horizontal="left"/>
    </xf>
    <xf numFmtId="0" fontId="33" fillId="8" borderId="1" xfId="0" applyFont="1" applyFill="1" applyBorder="1" applyAlignment="1">
      <alignment horizontal="center"/>
    </xf>
    <xf numFmtId="0" fontId="38" fillId="8" borderId="59" xfId="0" applyFont="1" applyFill="1" applyBorder="1" applyAlignment="1">
      <alignment horizontal="center"/>
    </xf>
    <xf numFmtId="1" fontId="10" fillId="8" borderId="1" xfId="0" applyNumberFormat="1" applyFont="1" applyFill="1" applyBorder="1" applyAlignment="1">
      <alignment horizontal="center"/>
    </xf>
    <xf numFmtId="1" fontId="31" fillId="0" borderId="0" xfId="0" applyNumberFormat="1" applyFont="1" applyAlignment="1">
      <alignment horizontal="center"/>
    </xf>
    <xf numFmtId="166" fontId="31" fillId="0" borderId="0" xfId="0" applyNumberFormat="1" applyFont="1"/>
    <xf numFmtId="0" fontId="46" fillId="8" borderId="1" xfId="0" applyFont="1" applyFill="1" applyBorder="1" applyAlignment="1">
      <alignment horizontal="center"/>
    </xf>
    <xf numFmtId="0" fontId="86" fillId="0" borderId="36" xfId="0" applyFont="1" applyBorder="1" applyAlignment="1">
      <alignment horizontal="center"/>
    </xf>
    <xf numFmtId="0" fontId="35" fillId="7" borderId="33" xfId="0" applyFont="1" applyFill="1" applyBorder="1" applyAlignment="1">
      <alignment horizontal="center" vertical="center"/>
    </xf>
    <xf numFmtId="0" fontId="36" fillId="7" borderId="27" xfId="0" applyFont="1" applyFill="1" applyBorder="1" applyAlignment="1">
      <alignment horizontal="center" vertical="center"/>
    </xf>
    <xf numFmtId="0" fontId="31" fillId="7" borderId="27" xfId="0" applyFont="1" applyFill="1" applyBorder="1" applyAlignment="1">
      <alignment horizontal="center" vertical="center"/>
    </xf>
    <xf numFmtId="0" fontId="31" fillId="7" borderId="34" xfId="0" applyFont="1" applyFill="1" applyBorder="1" applyAlignment="1">
      <alignment horizontal="center" vertical="center"/>
    </xf>
    <xf numFmtId="0" fontId="0" fillId="20" borderId="0" xfId="0" applyFill="1"/>
    <xf numFmtId="0" fontId="25" fillId="8" borderId="47" xfId="0" applyFont="1" applyFill="1" applyBorder="1" applyAlignment="1">
      <alignment horizontal="left"/>
    </xf>
    <xf numFmtId="0" fontId="89" fillId="0" borderId="0" xfId="1" applyFont="1"/>
    <xf numFmtId="164" fontId="0" fillId="0" borderId="0" xfId="0" applyNumberFormat="1"/>
    <xf numFmtId="0" fontId="0" fillId="0" borderId="0" xfId="0" applyFill="1" applyBorder="1"/>
    <xf numFmtId="0" fontId="31" fillId="0" borderId="0" xfId="0" applyFont="1" applyFill="1" applyBorder="1"/>
    <xf numFmtId="0" fontId="44" fillId="0" borderId="0" xfId="0" applyFont="1" applyFill="1" applyBorder="1" applyAlignment="1">
      <alignment horizontal="center"/>
    </xf>
    <xf numFmtId="0" fontId="52" fillId="0" borderId="0" xfId="0" applyFont="1" applyFill="1" applyBorder="1" applyAlignment="1">
      <alignment horizontal="center"/>
    </xf>
    <xf numFmtId="0" fontId="46" fillId="0" borderId="0" xfId="0" applyFont="1" applyFill="1" applyBorder="1"/>
    <xf numFmtId="0" fontId="15" fillId="0" borderId="0" xfId="0" applyFont="1" applyFill="1" applyBorder="1" applyAlignment="1">
      <alignment horizontal="center"/>
    </xf>
    <xf numFmtId="0" fontId="7" fillId="0" borderId="0" xfId="0" applyFont="1" applyFill="1" applyBorder="1" applyAlignment="1">
      <alignment horizontal="center"/>
    </xf>
    <xf numFmtId="0" fontId="4" fillId="0" borderId="0" xfId="0" applyFont="1" applyFill="1" applyBorder="1" applyAlignment="1">
      <alignment horizontal="center"/>
    </xf>
    <xf numFmtId="0" fontId="6" fillId="0" borderId="0" xfId="0" applyFont="1" applyFill="1" applyBorder="1" applyAlignment="1">
      <alignment horizontal="center"/>
    </xf>
    <xf numFmtId="0" fontId="43" fillId="0" borderId="0" xfId="0" applyFont="1" applyFill="1" applyBorder="1" applyAlignment="1">
      <alignment horizontal="center"/>
    </xf>
    <xf numFmtId="169" fontId="31" fillId="0" borderId="0" xfId="0" applyNumberFormat="1" applyFont="1" applyFill="1" applyBorder="1" applyAlignment="1">
      <alignment horizontal="center"/>
    </xf>
    <xf numFmtId="0" fontId="35" fillId="0" borderId="0" xfId="0" applyFont="1" applyFill="1" applyBorder="1" applyAlignment="1">
      <alignment horizontal="center"/>
    </xf>
    <xf numFmtId="0" fontId="31" fillId="0" borderId="0" xfId="0" applyFont="1" applyFill="1" applyBorder="1" applyAlignment="1">
      <alignment horizontal="center"/>
    </xf>
    <xf numFmtId="170" fontId="38" fillId="0" borderId="0" xfId="0" applyNumberFormat="1" applyFont="1" applyFill="1" applyBorder="1" applyAlignment="1">
      <alignment horizontal="center"/>
    </xf>
    <xf numFmtId="1" fontId="35" fillId="0" borderId="0" xfId="0" applyNumberFormat="1" applyFont="1" applyFill="1" applyBorder="1" applyAlignment="1">
      <alignment horizontal="center"/>
    </xf>
    <xf numFmtId="1" fontId="31" fillId="0" borderId="0" xfId="0" applyNumberFormat="1" applyFont="1" applyFill="1" applyBorder="1" applyAlignment="1">
      <alignment horizontal="center"/>
    </xf>
    <xf numFmtId="0" fontId="2" fillId="0" borderId="0" xfId="0" applyFont="1" applyFill="1" applyBorder="1" applyAlignment="1">
      <alignment horizontal="center"/>
    </xf>
    <xf numFmtId="0" fontId="13" fillId="0" borderId="0" xfId="0" applyFont="1" applyFill="1" applyBorder="1" applyAlignment="1">
      <alignment horizontal="center"/>
    </xf>
    <xf numFmtId="1" fontId="2" fillId="0" borderId="0" xfId="0" applyNumberFormat="1" applyFont="1" applyFill="1" applyBorder="1" applyAlignment="1">
      <alignment horizontal="center"/>
    </xf>
    <xf numFmtId="0" fontId="34" fillId="0" borderId="0" xfId="0" applyFont="1" applyFill="1" applyBorder="1"/>
    <xf numFmtId="0" fontId="70" fillId="0" borderId="0" xfId="0" applyFont="1" applyFill="1" applyBorder="1" applyAlignment="1">
      <alignment horizontal="center"/>
    </xf>
    <xf numFmtId="0" fontId="49" fillId="0" borderId="0" xfId="0" applyFont="1" applyFill="1" applyBorder="1" applyAlignment="1">
      <alignment horizontal="center"/>
    </xf>
    <xf numFmtId="0" fontId="76" fillId="0" borderId="0" xfId="0" applyFont="1" applyFill="1" applyBorder="1" applyAlignment="1">
      <alignment horizontal="center"/>
    </xf>
    <xf numFmtId="1" fontId="49" fillId="0" borderId="0" xfId="0" applyNumberFormat="1" applyFont="1" applyFill="1" applyBorder="1" applyAlignment="1">
      <alignment horizontal="center"/>
    </xf>
    <xf numFmtId="0" fontId="5" fillId="0" borderId="0" xfId="0" applyFont="1" applyFill="1" applyBorder="1" applyAlignment="1">
      <alignment horizontal="center"/>
    </xf>
    <xf numFmtId="0" fontId="10" fillId="0" borderId="0" xfId="0" applyFont="1" applyFill="1" applyBorder="1" applyAlignment="1">
      <alignment horizontal="center"/>
    </xf>
    <xf numFmtId="0" fontId="77" fillId="0" borderId="0" xfId="0" applyFont="1" applyFill="1" applyBorder="1" applyAlignment="1">
      <alignment horizontal="center"/>
    </xf>
    <xf numFmtId="0" fontId="48" fillId="0" borderId="0" xfId="0" applyFont="1" applyFill="1" applyBorder="1" applyAlignment="1">
      <alignment horizontal="center"/>
    </xf>
    <xf numFmtId="0" fontId="73" fillId="0" borderId="0" xfId="0" applyFont="1" applyFill="1" applyBorder="1" applyAlignment="1">
      <alignment horizontal="center"/>
    </xf>
    <xf numFmtId="1" fontId="73" fillId="0" borderId="0" xfId="0" applyNumberFormat="1" applyFont="1" applyFill="1" applyBorder="1" applyAlignment="1">
      <alignment horizontal="center"/>
    </xf>
    <xf numFmtId="0" fontId="23" fillId="0" borderId="0" xfId="0" applyFont="1" applyFill="1" applyBorder="1" applyAlignment="1">
      <alignment horizontal="center"/>
    </xf>
    <xf numFmtId="0" fontId="24" fillId="0" borderId="0" xfId="0" applyFont="1" applyFill="1" applyBorder="1" applyAlignment="1">
      <alignment horizontal="center"/>
    </xf>
    <xf numFmtId="0" fontId="90" fillId="0" borderId="0" xfId="1" applyFont="1"/>
    <xf numFmtId="0" fontId="72" fillId="6" borderId="1" xfId="0" applyFont="1" applyFill="1" applyBorder="1" applyAlignment="1">
      <alignment horizontal="center"/>
    </xf>
    <xf numFmtId="0" fontId="55" fillId="10" borderId="0" xfId="0" applyFont="1" applyFill="1"/>
    <xf numFmtId="0" fontId="82" fillId="6" borderId="1" xfId="0" applyFont="1" applyFill="1" applyBorder="1" applyAlignment="1">
      <alignment horizontal="center"/>
    </xf>
    <xf numFmtId="0" fontId="32" fillId="4" borderId="0" xfId="0" applyFont="1" applyFill="1" applyAlignment="1">
      <alignment horizontal="center"/>
    </xf>
    <xf numFmtId="10" fontId="43" fillId="18" borderId="48" xfId="2" applyNumberFormat="1" applyFont="1" applyFill="1" applyBorder="1" applyAlignment="1">
      <alignment horizontal="center"/>
    </xf>
    <xf numFmtId="0" fontId="35" fillId="18" borderId="51" xfId="0" applyFont="1" applyFill="1" applyBorder="1" applyAlignment="1">
      <alignment horizontal="center" vertical="center" wrapText="1"/>
    </xf>
    <xf numFmtId="0" fontId="41" fillId="20" borderId="51" xfId="0" applyFont="1" applyFill="1" applyBorder="1" applyAlignment="1">
      <alignment horizontal="center" vertical="center" wrapText="1"/>
    </xf>
    <xf numFmtId="0" fontId="28" fillId="0" borderId="0" xfId="1" applyAlignment="1">
      <alignment horizontal="left"/>
    </xf>
    <xf numFmtId="0" fontId="46" fillId="10" borderId="0" xfId="0" applyFont="1" applyFill="1"/>
    <xf numFmtId="0" fontId="48" fillId="10" borderId="0" xfId="0" applyFont="1" applyFill="1"/>
    <xf numFmtId="0" fontId="88" fillId="0" borderId="1" xfId="0" applyFont="1" applyBorder="1" applyAlignment="1">
      <alignment horizontal="center"/>
    </xf>
    <xf numFmtId="1" fontId="0" fillId="0" borderId="1" xfId="0" applyNumberFormat="1" applyBorder="1" applyAlignment="1">
      <alignment horizontal="center"/>
    </xf>
    <xf numFmtId="0" fontId="0" fillId="0" borderId="4" xfId="0" applyBorder="1"/>
    <xf numFmtId="0" fontId="0" fillId="0" borderId="10" xfId="0" applyBorder="1"/>
    <xf numFmtId="0" fontId="0" fillId="0" borderId="31" xfId="0" applyBorder="1"/>
    <xf numFmtId="0" fontId="0" fillId="0" borderId="85" xfId="0" applyBorder="1"/>
    <xf numFmtId="9" fontId="75" fillId="0" borderId="0" xfId="0" applyNumberFormat="1" applyFont="1"/>
    <xf numFmtId="0" fontId="0" fillId="21" borderId="1" xfId="0" applyFill="1" applyBorder="1" applyAlignment="1">
      <alignment horizontal="center"/>
    </xf>
    <xf numFmtId="0" fontId="80" fillId="21" borderId="1" xfId="0" applyFont="1" applyFill="1" applyBorder="1" applyAlignment="1">
      <alignment horizontal="center"/>
    </xf>
    <xf numFmtId="10" fontId="0" fillId="21" borderId="1" xfId="2" applyNumberFormat="1" applyFont="1" applyFill="1" applyBorder="1" applyAlignment="1">
      <alignment horizontal="center"/>
    </xf>
    <xf numFmtId="0" fontId="71" fillId="21" borderId="6" xfId="0" applyFont="1" applyFill="1" applyBorder="1" applyAlignment="1">
      <alignment horizontal="center"/>
    </xf>
    <xf numFmtId="0" fontId="71" fillId="21" borderId="1" xfId="0" applyFont="1" applyFill="1" applyBorder="1" applyAlignment="1">
      <alignment horizontal="center"/>
    </xf>
    <xf numFmtId="0" fontId="84" fillId="21" borderId="1" xfId="0" applyFont="1" applyFill="1" applyBorder="1" applyAlignment="1">
      <alignment horizontal="center"/>
    </xf>
    <xf numFmtId="0" fontId="71" fillId="21" borderId="7" xfId="0" applyFont="1" applyFill="1" applyBorder="1" applyAlignment="1">
      <alignment horizontal="center"/>
    </xf>
    <xf numFmtId="9" fontId="79" fillId="21" borderId="1" xfId="2" applyNumberFormat="1" applyFont="1" applyFill="1" applyBorder="1" applyAlignment="1">
      <alignment horizontal="center"/>
    </xf>
    <xf numFmtId="0" fontId="79" fillId="21" borderId="0" xfId="0" applyFont="1" applyFill="1" applyBorder="1" applyAlignment="1">
      <alignment horizontal="center"/>
    </xf>
    <xf numFmtId="0" fontId="27" fillId="21" borderId="0" xfId="0" applyFont="1" applyFill="1" applyAlignment="1">
      <alignment horizontal="center"/>
    </xf>
    <xf numFmtId="0" fontId="71" fillId="21" borderId="8" xfId="0" applyFont="1" applyFill="1" applyBorder="1" applyAlignment="1">
      <alignment horizontal="center"/>
    </xf>
    <xf numFmtId="167" fontId="29" fillId="4" borderId="1" xfId="2" applyNumberFormat="1" applyFont="1" applyFill="1" applyBorder="1" applyAlignment="1">
      <alignment horizontal="center"/>
    </xf>
    <xf numFmtId="10" fontId="71" fillId="4" borderId="1" xfId="2" applyNumberFormat="1" applyFont="1" applyFill="1" applyBorder="1" applyAlignment="1">
      <alignment horizontal="center"/>
    </xf>
    <xf numFmtId="0" fontId="0" fillId="23" borderId="0" xfId="0" applyFill="1"/>
    <xf numFmtId="0" fontId="29" fillId="0" borderId="5" xfId="0" applyFont="1" applyBorder="1"/>
    <xf numFmtId="0" fontId="29" fillId="0" borderId="7" xfId="0" applyFont="1" applyBorder="1" applyAlignment="1">
      <alignment horizontal="center"/>
    </xf>
    <xf numFmtId="0" fontId="29" fillId="21" borderId="1" xfId="0" applyFont="1" applyFill="1" applyBorder="1" applyAlignment="1">
      <alignment horizontal="center"/>
    </xf>
    <xf numFmtId="0" fontId="71" fillId="21" borderId="0" xfId="0" applyFont="1" applyFill="1" applyBorder="1" applyAlignment="1">
      <alignment horizontal="center"/>
    </xf>
    <xf numFmtId="0" fontId="71" fillId="21" borderId="0" xfId="0" applyFont="1" applyFill="1" applyAlignment="1">
      <alignment horizontal="center"/>
    </xf>
    <xf numFmtId="1" fontId="0" fillId="4" borderId="0" xfId="0" applyNumberFormat="1" applyFill="1" applyAlignment="1">
      <alignment horizontal="center"/>
    </xf>
    <xf numFmtId="0" fontId="93" fillId="21" borderId="0" xfId="0" applyFont="1" applyFill="1" applyAlignment="1">
      <alignment horizontal="center"/>
    </xf>
    <xf numFmtId="0" fontId="92" fillId="10" borderId="0" xfId="0" applyFont="1" applyFill="1" applyAlignment="1">
      <alignment horizontal="left"/>
    </xf>
    <xf numFmtId="0" fontId="80" fillId="0" borderId="1" xfId="0" applyFont="1" applyBorder="1" applyAlignment="1">
      <alignment horizontal="center"/>
    </xf>
    <xf numFmtId="1" fontId="94" fillId="0" borderId="1" xfId="0" applyNumberFormat="1" applyFont="1" applyBorder="1" applyAlignment="1">
      <alignment horizontal="center"/>
    </xf>
    <xf numFmtId="1" fontId="0" fillId="4" borderId="1" xfId="0" applyNumberFormat="1" applyFill="1" applyBorder="1" applyAlignment="1">
      <alignment horizontal="center"/>
    </xf>
    <xf numFmtId="1" fontId="71" fillId="0" borderId="1" xfId="0" applyNumberFormat="1" applyFont="1" applyBorder="1" applyAlignment="1">
      <alignment horizontal="center"/>
    </xf>
    <xf numFmtId="0" fontId="71" fillId="4" borderId="1" xfId="0" applyFont="1" applyFill="1" applyBorder="1" applyAlignment="1">
      <alignment horizontal="center"/>
    </xf>
    <xf numFmtId="1" fontId="71" fillId="4" borderId="1" xfId="0" applyNumberFormat="1" applyFont="1" applyFill="1" applyBorder="1" applyAlignment="1">
      <alignment horizontal="center"/>
    </xf>
    <xf numFmtId="0" fontId="29" fillId="0" borderId="0" xfId="0" applyFont="1" applyAlignment="1">
      <alignment horizontal="center"/>
    </xf>
    <xf numFmtId="0" fontId="29" fillId="0" borderId="3" xfId="0" applyFont="1" applyBorder="1" applyAlignment="1">
      <alignment horizontal="center"/>
    </xf>
    <xf numFmtId="0" fontId="32" fillId="4" borderId="29" xfId="0" applyFont="1" applyFill="1" applyBorder="1" applyAlignment="1">
      <alignment horizontal="center"/>
    </xf>
    <xf numFmtId="0" fontId="0" fillId="9" borderId="0" xfId="0" applyFill="1"/>
    <xf numFmtId="0" fontId="0" fillId="9" borderId="0" xfId="0" applyFill="1" applyAlignment="1">
      <alignment horizontal="center"/>
    </xf>
    <xf numFmtId="0" fontId="0" fillId="20" borderId="0" xfId="0" applyFill="1" applyAlignment="1">
      <alignment horizontal="center"/>
    </xf>
    <xf numFmtId="0" fontId="95" fillId="20" borderId="0" xfId="1" applyFont="1" applyFill="1"/>
    <xf numFmtId="0" fontId="95" fillId="9" borderId="0" xfId="1" applyFont="1" applyFill="1"/>
    <xf numFmtId="0" fontId="30" fillId="20" borderId="1" xfId="0" applyFont="1" applyFill="1" applyBorder="1" applyAlignment="1">
      <alignment horizontal="center"/>
    </xf>
    <xf numFmtId="0" fontId="30" fillId="4" borderId="0" xfId="0" applyFont="1" applyFill="1"/>
    <xf numFmtId="0" fontId="39" fillId="10" borderId="0" xfId="0" applyFont="1" applyFill="1" applyAlignment="1">
      <alignment horizontal="left"/>
    </xf>
    <xf numFmtId="9" fontId="38" fillId="10" borderId="0" xfId="2" applyFont="1" applyFill="1" applyAlignment="1">
      <alignment horizontal="left"/>
    </xf>
    <xf numFmtId="0" fontId="38" fillId="10" borderId="0" xfId="0" applyFont="1" applyFill="1" applyAlignment="1">
      <alignment horizontal="left"/>
    </xf>
    <xf numFmtId="0" fontId="0" fillId="0" borderId="0" xfId="0" applyAlignment="1">
      <alignment vertical="top"/>
    </xf>
    <xf numFmtId="0" fontId="0" fillId="0" borderId="0" xfId="0" applyAlignment="1">
      <alignment horizontal="center" vertical="top"/>
    </xf>
    <xf numFmtId="0" fontId="79"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37" fillId="0" borderId="86" xfId="0" applyFont="1" applyBorder="1" applyAlignment="1">
      <alignment horizontal="center" vertical="center" wrapText="1"/>
    </xf>
    <xf numFmtId="0" fontId="0" fillId="0" borderId="0" xfId="0" applyFill="1"/>
    <xf numFmtId="0" fontId="0" fillId="0" borderId="0" xfId="0" applyFill="1" applyAlignment="1">
      <alignment horizontal="center"/>
    </xf>
    <xf numFmtId="0" fontId="96" fillId="24" borderId="1" xfId="0" applyFont="1" applyFill="1" applyBorder="1" applyAlignment="1">
      <alignment horizontal="center"/>
    </xf>
    <xf numFmtId="0" fontId="97" fillId="24" borderId="1" xfId="0" applyFont="1" applyFill="1" applyBorder="1" applyAlignment="1">
      <alignment horizontal="center"/>
    </xf>
    <xf numFmtId="2" fontId="97" fillId="24" borderId="1" xfId="0" applyNumberFormat="1" applyFont="1" applyFill="1" applyBorder="1" applyAlignment="1">
      <alignment horizontal="center"/>
    </xf>
    <xf numFmtId="0" fontId="97" fillId="24" borderId="86" xfId="0" applyFont="1" applyFill="1" applyBorder="1" applyAlignment="1">
      <alignment horizontal="center"/>
    </xf>
    <xf numFmtId="0" fontId="97" fillId="24" borderId="0" xfId="0" applyFont="1" applyFill="1"/>
    <xf numFmtId="0" fontId="33" fillId="14" borderId="33" xfId="0" applyFont="1" applyFill="1" applyBorder="1" applyAlignment="1">
      <alignment horizontal="center"/>
    </xf>
    <xf numFmtId="0" fontId="78" fillId="14" borderId="27" xfId="0" applyFont="1" applyFill="1" applyBorder="1" applyAlignment="1">
      <alignment horizontal="center"/>
    </xf>
    <xf numFmtId="0" fontId="41" fillId="0" borderId="27" xfId="0" applyFont="1" applyBorder="1" applyAlignment="1">
      <alignment horizontal="center"/>
    </xf>
    <xf numFmtId="0" fontId="35" fillId="0" borderId="27" xfId="0" applyFont="1" applyBorder="1" applyAlignment="1">
      <alignment horizontal="center"/>
    </xf>
    <xf numFmtId="0" fontId="100" fillId="0" borderId="34" xfId="0" applyFont="1" applyBorder="1" applyAlignment="1">
      <alignment horizontal="center"/>
    </xf>
    <xf numFmtId="9" fontId="97" fillId="24" borderId="0" xfId="2" applyFont="1" applyFill="1"/>
    <xf numFmtId="0" fontId="101" fillId="14" borderId="11" xfId="0" applyFont="1" applyFill="1" applyBorder="1" applyAlignment="1">
      <alignment horizontal="center"/>
    </xf>
    <xf numFmtId="0" fontId="102" fillId="14" borderId="1" xfId="0" applyFont="1" applyFill="1" applyBorder="1" applyAlignment="1">
      <alignment horizontal="center"/>
    </xf>
    <xf numFmtId="2" fontId="102" fillId="0" borderId="1" xfId="0" applyNumberFormat="1" applyFont="1" applyBorder="1" applyAlignment="1">
      <alignment horizontal="center"/>
    </xf>
    <xf numFmtId="10" fontId="103" fillId="0" borderId="1" xfId="2" applyNumberFormat="1" applyFont="1" applyBorder="1" applyAlignment="1">
      <alignment horizontal="center"/>
    </xf>
    <xf numFmtId="165" fontId="104" fillId="0" borderId="44" xfId="0" applyNumberFormat="1" applyFont="1" applyBorder="1" applyAlignment="1">
      <alignment horizontal="center"/>
    </xf>
    <xf numFmtId="0" fontId="0" fillId="0" borderId="0" xfId="0" applyAlignment="1">
      <alignment horizontal="left"/>
    </xf>
    <xf numFmtId="166" fontId="105" fillId="25" borderId="86" xfId="0" applyNumberFormat="1" applyFont="1" applyFill="1" applyBorder="1" applyAlignment="1">
      <alignment horizontal="center"/>
    </xf>
    <xf numFmtId="9" fontId="106" fillId="25" borderId="0" xfId="2" applyFont="1" applyFill="1" applyAlignment="1">
      <alignment horizontal="center"/>
    </xf>
    <xf numFmtId="0" fontId="35" fillId="14" borderId="11" xfId="0" applyFont="1" applyFill="1" applyBorder="1" applyAlignment="1">
      <alignment horizontal="center"/>
    </xf>
    <xf numFmtId="0" fontId="31" fillId="14" borderId="1" xfId="0" applyFont="1" applyFill="1" applyBorder="1" applyAlignment="1">
      <alignment horizontal="center"/>
    </xf>
    <xf numFmtId="2" fontId="31" fillId="0" borderId="1" xfId="0" applyNumberFormat="1" applyFont="1" applyBorder="1" applyAlignment="1">
      <alignment horizontal="center"/>
    </xf>
    <xf numFmtId="10" fontId="42" fillId="0" borderId="1" xfId="2" applyNumberFormat="1" applyFont="1" applyBorder="1" applyAlignment="1">
      <alignment horizontal="center"/>
    </xf>
    <xf numFmtId="165" fontId="53" fillId="0" borderId="44" xfId="0" applyNumberFormat="1" applyFont="1" applyBorder="1" applyAlignment="1">
      <alignment horizontal="center"/>
    </xf>
    <xf numFmtId="0" fontId="107" fillId="0" borderId="1" xfId="0" applyFont="1" applyBorder="1" applyAlignment="1">
      <alignment horizontal="center"/>
    </xf>
    <xf numFmtId="0" fontId="108" fillId="0" borderId="1" xfId="0" applyFont="1" applyBorder="1" applyAlignment="1">
      <alignment horizontal="center"/>
    </xf>
    <xf numFmtId="2" fontId="108" fillId="0" borderId="1" xfId="0" applyNumberFormat="1" applyFont="1" applyBorder="1" applyAlignment="1">
      <alignment horizontal="center"/>
    </xf>
    <xf numFmtId="0" fontId="108" fillId="0" borderId="86" xfId="0" applyFont="1" applyBorder="1" applyAlignment="1">
      <alignment horizontal="center"/>
    </xf>
    <xf numFmtId="0" fontId="109" fillId="0" borderId="0" xfId="0" applyFont="1" applyAlignment="1">
      <alignment horizontal="center"/>
    </xf>
    <xf numFmtId="165" fontId="31" fillId="0" borderId="1" xfId="0" applyNumberFormat="1" applyFont="1" applyBorder="1" applyAlignment="1">
      <alignment horizontal="center"/>
    </xf>
    <xf numFmtId="0" fontId="107" fillId="0" borderId="87" xfId="0" applyFont="1" applyBorder="1" applyAlignment="1">
      <alignment horizontal="center"/>
    </xf>
    <xf numFmtId="0" fontId="108" fillId="0" borderId="87" xfId="0" applyFont="1" applyBorder="1" applyAlignment="1">
      <alignment horizontal="center"/>
    </xf>
    <xf numFmtId="2" fontId="108" fillId="0" borderId="87" xfId="0" applyNumberFormat="1" applyFont="1" applyBorder="1" applyAlignment="1">
      <alignment horizontal="center"/>
    </xf>
    <xf numFmtId="166" fontId="110" fillId="25" borderId="88" xfId="0" applyNumberFormat="1" applyFont="1" applyFill="1" applyBorder="1" applyAlignment="1">
      <alignment horizontal="center"/>
    </xf>
    <xf numFmtId="9" fontId="111" fillId="25" borderId="0" xfId="2" applyFont="1" applyFill="1" applyAlignment="1">
      <alignment horizontal="center"/>
    </xf>
    <xf numFmtId="2" fontId="0" fillId="4" borderId="0" xfId="0" applyNumberFormat="1" applyFill="1" applyAlignment="1">
      <alignment horizontal="center"/>
    </xf>
    <xf numFmtId="0" fontId="33" fillId="14" borderId="1" xfId="0" applyFont="1" applyFill="1" applyBorder="1" applyAlignment="1">
      <alignment horizontal="center"/>
    </xf>
    <xf numFmtId="164" fontId="31" fillId="0" borderId="1" xfId="0" applyNumberFormat="1" applyFont="1" applyBorder="1" applyAlignment="1">
      <alignment horizontal="center"/>
    </xf>
    <xf numFmtId="168" fontId="42" fillId="0" borderId="1" xfId="2" applyNumberFormat="1" applyFont="1" applyBorder="1" applyAlignment="1">
      <alignment horizontal="center"/>
    </xf>
    <xf numFmtId="164" fontId="53" fillId="0" borderId="44" xfId="0" applyNumberFormat="1" applyFont="1" applyBorder="1" applyAlignment="1">
      <alignment horizontal="center"/>
    </xf>
    <xf numFmtId="0" fontId="112" fillId="4" borderId="24" xfId="0" applyFont="1" applyFill="1" applyBorder="1" applyAlignment="1">
      <alignment horizontal="center"/>
    </xf>
    <xf numFmtId="0" fontId="27" fillId="0" borderId="25" xfId="0" applyFont="1" applyBorder="1" applyAlignment="1">
      <alignment horizontal="center"/>
    </xf>
    <xf numFmtId="2" fontId="71" fillId="4" borderId="26" xfId="0" applyNumberFormat="1" applyFont="1" applyFill="1" applyBorder="1" applyAlignment="1">
      <alignment horizontal="center"/>
    </xf>
    <xf numFmtId="166" fontId="113" fillId="25" borderId="24" xfId="0" applyNumberFormat="1" applyFont="1" applyFill="1" applyBorder="1" applyAlignment="1">
      <alignment horizontal="center"/>
    </xf>
    <xf numFmtId="9" fontId="29" fillId="25" borderId="26" xfId="0" applyNumberFormat="1" applyFont="1" applyFill="1" applyBorder="1" applyAlignment="1">
      <alignment horizontal="center"/>
    </xf>
    <xf numFmtId="167" fontId="26" fillId="4" borderId="0" xfId="2" applyNumberFormat="1" applyFont="1" applyFill="1" applyAlignment="1">
      <alignment horizontal="center"/>
    </xf>
    <xf numFmtId="0" fontId="37" fillId="0" borderId="0" xfId="0" applyFont="1"/>
    <xf numFmtId="0" fontId="114" fillId="4" borderId="0" xfId="0" applyFont="1" applyFill="1"/>
    <xf numFmtId="167" fontId="32" fillId="4" borderId="0" xfId="2" applyNumberFormat="1" applyFont="1" applyFill="1" applyAlignment="1">
      <alignment horizontal="center"/>
    </xf>
    <xf numFmtId="0" fontId="62" fillId="14" borderId="39" xfId="0" applyFont="1" applyFill="1" applyBorder="1" applyAlignment="1">
      <alignment horizontal="center"/>
    </xf>
    <xf numFmtId="166" fontId="62" fillId="14" borderId="37" xfId="0" applyNumberFormat="1" applyFont="1" applyFill="1" applyBorder="1" applyAlignment="1">
      <alignment horizontal="center"/>
    </xf>
    <xf numFmtId="2" fontId="62" fillId="10" borderId="37" xfId="0" applyNumberFormat="1" applyFont="1" applyFill="1" applyBorder="1" applyAlignment="1">
      <alignment horizontal="center"/>
    </xf>
    <xf numFmtId="9" fontId="62" fillId="10" borderId="37" xfId="2" applyNumberFormat="1" applyFont="1" applyFill="1" applyBorder="1" applyAlignment="1">
      <alignment horizontal="center"/>
    </xf>
    <xf numFmtId="165" fontId="115" fillId="10" borderId="38" xfId="0" applyNumberFormat="1" applyFont="1" applyFill="1" applyBorder="1" applyAlignment="1">
      <alignment horizontal="center"/>
    </xf>
    <xf numFmtId="0" fontId="39" fillId="0" borderId="0" xfId="0" applyFont="1"/>
    <xf numFmtId="0" fontId="116" fillId="6" borderId="1" xfId="0" applyFont="1" applyFill="1" applyBorder="1" applyAlignment="1">
      <alignment horizontal="center"/>
    </xf>
    <xf numFmtId="165" fontId="116" fillId="6" borderId="1" xfId="0" applyNumberFormat="1" applyFont="1" applyFill="1" applyBorder="1" applyAlignment="1">
      <alignment horizontal="center"/>
    </xf>
    <xf numFmtId="168" fontId="117" fillId="6" borderId="1" xfId="2" applyNumberFormat="1" applyFont="1" applyFill="1" applyBorder="1" applyAlignment="1">
      <alignment horizontal="center"/>
    </xf>
    <xf numFmtId="164" fontId="100" fillId="6" borderId="1" xfId="0" applyNumberFormat="1" applyFont="1" applyFill="1" applyBorder="1" applyAlignment="1">
      <alignment horizontal="center"/>
    </xf>
    <xf numFmtId="0" fontId="39" fillId="8" borderId="0" xfId="0" applyFont="1" applyFill="1" applyAlignment="1">
      <alignment horizontal="center"/>
    </xf>
    <xf numFmtId="0" fontId="118" fillId="8" borderId="49" xfId="0" applyFont="1" applyFill="1" applyBorder="1" applyAlignment="1">
      <alignment horizontal="center"/>
    </xf>
    <xf numFmtId="0" fontId="0" fillId="8" borderId="89" xfId="0" applyFill="1" applyBorder="1" applyAlignment="1">
      <alignment horizontal="center"/>
    </xf>
    <xf numFmtId="2" fontId="37" fillId="8" borderId="50" xfId="0" applyNumberFormat="1" applyFont="1" applyFill="1" applyBorder="1" applyAlignment="1">
      <alignment horizontal="center"/>
    </xf>
    <xf numFmtId="0" fontId="37" fillId="8" borderId="0" xfId="0" applyFont="1" applyFill="1" applyAlignment="1">
      <alignment horizontal="center"/>
    </xf>
    <xf numFmtId="0" fontId="75" fillId="8" borderId="49" xfId="0" applyFont="1" applyFill="1" applyBorder="1" applyAlignment="1">
      <alignment horizontal="center"/>
    </xf>
    <xf numFmtId="0" fontId="80" fillId="7" borderId="0" xfId="0" applyFont="1" applyFill="1" applyAlignment="1">
      <alignment horizontal="right"/>
    </xf>
    <xf numFmtId="167" fontId="80" fillId="7" borderId="0" xfId="2" applyNumberFormat="1" applyFont="1" applyFill="1" applyAlignment="1">
      <alignment horizontal="left"/>
    </xf>
    <xf numFmtId="0" fontId="122" fillId="6" borderId="1" xfId="0" applyFont="1" applyFill="1" applyBorder="1" applyAlignment="1">
      <alignment horizontal="center" wrapText="1"/>
    </xf>
    <xf numFmtId="168" fontId="116" fillId="6" borderId="1" xfId="2" applyNumberFormat="1" applyFont="1" applyFill="1" applyBorder="1" applyAlignment="1">
      <alignment horizontal="center"/>
    </xf>
    <xf numFmtId="0" fontId="72" fillId="7" borderId="0" xfId="0" applyFont="1" applyFill="1" applyAlignment="1">
      <alignment horizontal="center"/>
    </xf>
    <xf numFmtId="0" fontId="80" fillId="7" borderId="49" xfId="0" applyFont="1" applyFill="1" applyBorder="1" applyAlignment="1">
      <alignment horizontal="center"/>
    </xf>
    <xf numFmtId="0" fontId="0" fillId="7" borderId="89" xfId="0" applyFill="1" applyBorder="1" applyAlignment="1">
      <alignment horizontal="center"/>
    </xf>
    <xf numFmtId="2" fontId="72" fillId="7" borderId="50" xfId="0" applyNumberFormat="1" applyFont="1" applyFill="1" applyBorder="1" applyAlignment="1">
      <alignment horizontal="center"/>
    </xf>
    <xf numFmtId="167" fontId="80" fillId="7" borderId="0" xfId="0" applyNumberFormat="1" applyFont="1" applyFill="1" applyAlignment="1">
      <alignment horizontal="left"/>
    </xf>
    <xf numFmtId="0" fontId="117" fillId="6" borderId="1" xfId="0" applyFont="1" applyFill="1" applyBorder="1" applyAlignment="1">
      <alignment horizontal="center"/>
    </xf>
    <xf numFmtId="2" fontId="117" fillId="6" borderId="1" xfId="0" applyNumberFormat="1" applyFont="1" applyFill="1" applyBorder="1" applyAlignment="1">
      <alignment horizontal="center"/>
    </xf>
    <xf numFmtId="10" fontId="117" fillId="6" borderId="1" xfId="2" applyNumberFormat="1" applyFont="1" applyFill="1" applyBorder="1" applyAlignment="1">
      <alignment horizontal="center"/>
    </xf>
    <xf numFmtId="165" fontId="125" fillId="6" borderId="1" xfId="0" applyNumberFormat="1" applyFont="1" applyFill="1" applyBorder="1" applyAlignment="1">
      <alignment horizontal="center"/>
    </xf>
    <xf numFmtId="167" fontId="72" fillId="4" borderId="0" xfId="2" applyNumberFormat="1" applyFont="1" applyFill="1" applyAlignment="1">
      <alignment horizontal="center"/>
    </xf>
    <xf numFmtId="0" fontId="74" fillId="22" borderId="0" xfId="0" applyFont="1" applyFill="1" applyAlignment="1"/>
    <xf numFmtId="165" fontId="74" fillId="22" borderId="0" xfId="0" applyNumberFormat="1" applyFont="1" applyFill="1" applyAlignment="1">
      <alignment horizontal="left"/>
    </xf>
    <xf numFmtId="0" fontId="0" fillId="4" borderId="1" xfId="0" applyFill="1" applyBorder="1" applyAlignment="1">
      <alignment horizontal="center"/>
    </xf>
    <xf numFmtId="0" fontId="0" fillId="0" borderId="1" xfId="0" applyBorder="1"/>
    <xf numFmtId="0" fontId="108" fillId="22" borderId="0" xfId="0" applyFont="1" applyFill="1" applyAlignment="1"/>
    <xf numFmtId="165" fontId="108" fillId="22" borderId="0" xfId="0" applyNumberFormat="1" applyFont="1" applyFill="1" applyAlignment="1">
      <alignment horizontal="left"/>
    </xf>
    <xf numFmtId="0" fontId="37" fillId="0" borderId="1" xfId="0" applyFont="1" applyBorder="1" applyAlignment="1">
      <alignment horizontal="center"/>
    </xf>
    <xf numFmtId="165" fontId="0" fillId="0" borderId="1" xfId="0" applyNumberFormat="1" applyBorder="1"/>
    <xf numFmtId="0" fontId="126" fillId="8" borderId="1" xfId="0" applyFont="1" applyFill="1" applyBorder="1"/>
    <xf numFmtId="0" fontId="0" fillId="8" borderId="1" xfId="0" applyFill="1" applyBorder="1" applyAlignment="1">
      <alignment horizontal="left"/>
    </xf>
    <xf numFmtId="0" fontId="126" fillId="7" borderId="4" xfId="0" applyFont="1" applyFill="1" applyBorder="1" applyAlignment="1">
      <alignment horizontal="center"/>
    </xf>
    <xf numFmtId="0" fontId="30" fillId="7" borderId="10" xfId="0" applyFont="1" applyFill="1" applyBorder="1" applyAlignment="1">
      <alignment horizontal="center"/>
    </xf>
    <xf numFmtId="0" fontId="29" fillId="8" borderId="1" xfId="0" applyFont="1" applyFill="1" applyBorder="1" applyAlignment="1">
      <alignment horizontal="center"/>
    </xf>
    <xf numFmtId="167" fontId="26" fillId="8" borderId="1" xfId="2" applyNumberFormat="1" applyFont="1" applyFill="1" applyBorder="1" applyAlignment="1">
      <alignment horizontal="left"/>
    </xf>
    <xf numFmtId="0" fontId="82" fillId="7" borderId="6" xfId="0" applyFont="1" applyFill="1" applyBorder="1" applyAlignment="1">
      <alignment horizontal="center"/>
    </xf>
    <xf numFmtId="2" fontId="129" fillId="0" borderId="1" xfId="0" applyNumberFormat="1" applyFont="1" applyBorder="1" applyAlignment="1">
      <alignment horizontal="center"/>
    </xf>
    <xf numFmtId="0" fontId="130" fillId="7" borderId="6" xfId="0" applyFont="1" applyFill="1" applyBorder="1" applyAlignment="1">
      <alignment horizontal="center"/>
    </xf>
    <xf numFmtId="0" fontId="131" fillId="8" borderId="1" xfId="0" applyFont="1" applyFill="1" applyBorder="1" applyAlignment="1">
      <alignment horizontal="center"/>
    </xf>
    <xf numFmtId="10" fontId="131" fillId="8" borderId="1" xfId="2" applyNumberFormat="1" applyFont="1" applyFill="1" applyBorder="1" applyAlignment="1">
      <alignment horizontal="left"/>
    </xf>
    <xf numFmtId="0" fontId="132" fillId="7" borderId="6" xfId="0" applyFont="1" applyFill="1" applyBorder="1" applyAlignment="1">
      <alignment horizontal="center"/>
    </xf>
    <xf numFmtId="0" fontId="71" fillId="8" borderId="1" xfId="0" applyFont="1" applyFill="1" applyBorder="1" applyAlignment="1">
      <alignment horizontal="center"/>
    </xf>
    <xf numFmtId="10" fontId="71" fillId="8" borderId="1" xfId="2" applyNumberFormat="1" applyFont="1" applyFill="1" applyBorder="1" applyAlignment="1">
      <alignment horizontal="left"/>
    </xf>
    <xf numFmtId="0" fontId="112" fillId="7" borderId="6" xfId="0" applyFont="1" applyFill="1" applyBorder="1" applyAlignment="1">
      <alignment horizontal="center"/>
    </xf>
    <xf numFmtId="0" fontId="133" fillId="8" borderId="1" xfId="0" applyFont="1" applyFill="1" applyBorder="1" applyAlignment="1">
      <alignment horizontal="center"/>
    </xf>
    <xf numFmtId="0" fontId="134" fillId="7" borderId="6" xfId="0" applyFont="1" applyFill="1" applyBorder="1" applyAlignment="1">
      <alignment horizontal="center"/>
    </xf>
    <xf numFmtId="0" fontId="0" fillId="8" borderId="1" xfId="0" applyFill="1" applyBorder="1"/>
    <xf numFmtId="0" fontId="129" fillId="0" borderId="1" xfId="0" applyFont="1" applyBorder="1" applyAlignment="1">
      <alignment horizontal="center"/>
    </xf>
    <xf numFmtId="0" fontId="29" fillId="7" borderId="8" xfId="0" applyFont="1" applyFill="1" applyBorder="1" applyAlignment="1">
      <alignment horizontal="center"/>
    </xf>
    <xf numFmtId="0" fontId="129" fillId="0" borderId="2" xfId="0" applyFont="1" applyBorder="1" applyAlignment="1">
      <alignment horizontal="center"/>
    </xf>
    <xf numFmtId="0" fontId="135" fillId="7" borderId="0" xfId="0" applyFont="1" applyFill="1"/>
    <xf numFmtId="0" fontId="29" fillId="7" borderId="0" xfId="0" applyFont="1" applyFill="1"/>
    <xf numFmtId="0" fontId="0" fillId="4" borderId="0" xfId="0" applyFill="1"/>
    <xf numFmtId="1" fontId="31" fillId="2" borderId="12" xfId="0" applyNumberFormat="1" applyFont="1" applyFill="1" applyBorder="1" applyAlignment="1">
      <alignment horizontal="center"/>
    </xf>
    <xf numFmtId="168" fontId="38" fillId="2" borderId="22" xfId="0" applyNumberFormat="1" applyFont="1" applyFill="1" applyBorder="1" applyAlignment="1">
      <alignment horizontal="center"/>
    </xf>
    <xf numFmtId="171" fontId="38" fillId="2" borderId="12" xfId="0" applyNumberFormat="1" applyFont="1" applyFill="1" applyBorder="1" applyAlignment="1">
      <alignment horizontal="center"/>
    </xf>
    <xf numFmtId="0" fontId="99" fillId="11" borderId="16" xfId="0" applyFont="1" applyFill="1" applyBorder="1" applyAlignment="1">
      <alignment horizontal="center"/>
    </xf>
    <xf numFmtId="1" fontId="32" fillId="24" borderId="0" xfId="0" applyNumberFormat="1" applyFont="1" applyFill="1" applyAlignment="1">
      <alignment horizontal="center"/>
    </xf>
    <xf numFmtId="0" fontId="78" fillId="18" borderId="32" xfId="0" applyFont="1" applyFill="1" applyBorder="1" applyAlignment="1">
      <alignment horizontal="center" vertical="center" wrapText="1"/>
    </xf>
    <xf numFmtId="0" fontId="78" fillId="20" borderId="32" xfId="0" applyFont="1" applyFill="1" applyBorder="1" applyAlignment="1">
      <alignment horizontal="center" vertical="center" wrapText="1"/>
    </xf>
    <xf numFmtId="168" fontId="38" fillId="18" borderId="7" xfId="2" applyNumberFormat="1" applyFont="1" applyFill="1" applyBorder="1" applyAlignment="1">
      <alignment horizontal="center"/>
    </xf>
    <xf numFmtId="168" fontId="76" fillId="18" borderId="9" xfId="2" applyNumberFormat="1" applyFont="1" applyFill="1" applyBorder="1" applyAlignment="1">
      <alignment horizontal="center"/>
    </xf>
    <xf numFmtId="10" fontId="38" fillId="20" borderId="7" xfId="2" applyNumberFormat="1" applyFont="1" applyFill="1" applyBorder="1" applyAlignment="1">
      <alignment horizontal="center"/>
    </xf>
    <xf numFmtId="168" fontId="38" fillId="20" borderId="7" xfId="2" applyNumberFormat="1" applyFont="1" applyFill="1" applyBorder="1" applyAlignment="1">
      <alignment horizontal="center"/>
    </xf>
    <xf numFmtId="168" fontId="76" fillId="20" borderId="9" xfId="2" applyNumberFormat="1" applyFont="1" applyFill="1" applyBorder="1" applyAlignment="1">
      <alignment horizontal="center"/>
    </xf>
    <xf numFmtId="166" fontId="73" fillId="16" borderId="56" xfId="0" applyNumberFormat="1" applyFont="1" applyFill="1" applyBorder="1" applyAlignment="1">
      <alignment horizontal="center"/>
    </xf>
    <xf numFmtId="166" fontId="2" fillId="16" borderId="20" xfId="0" applyNumberFormat="1" applyFont="1" applyFill="1" applyBorder="1" applyAlignment="1">
      <alignment horizontal="center"/>
    </xf>
    <xf numFmtId="1" fontId="73" fillId="0" borderId="12" xfId="0" applyNumberFormat="1" applyFont="1" applyBorder="1" applyAlignment="1">
      <alignment horizontal="center"/>
    </xf>
    <xf numFmtId="1" fontId="24" fillId="5" borderId="67" xfId="0" applyNumberFormat="1" applyFont="1" applyFill="1" applyBorder="1" applyAlignment="1">
      <alignment horizontal="center"/>
    </xf>
    <xf numFmtId="1" fontId="73" fillId="0" borderId="54" xfId="0" applyNumberFormat="1" applyFont="1" applyBorder="1" applyAlignment="1">
      <alignment horizontal="center"/>
    </xf>
    <xf numFmtId="166" fontId="0" fillId="0" borderId="0" xfId="0" applyNumberFormat="1"/>
    <xf numFmtId="1" fontId="31" fillId="0" borderId="0" xfId="0" applyNumberFormat="1" applyFont="1"/>
    <xf numFmtId="10" fontId="0" fillId="0" borderId="0" xfId="0" applyNumberFormat="1"/>
    <xf numFmtId="0" fontId="13" fillId="0" borderId="12" xfId="0" applyFont="1" applyFill="1" applyBorder="1" applyAlignment="1">
      <alignment horizontal="center"/>
    </xf>
    <xf numFmtId="1" fontId="65" fillId="17" borderId="23" xfId="0" applyNumberFormat="1" applyFont="1" applyFill="1" applyBorder="1" applyAlignment="1">
      <alignment horizontal="center"/>
    </xf>
    <xf numFmtId="0" fontId="71" fillId="4" borderId="0" xfId="0" applyFont="1" applyFill="1"/>
    <xf numFmtId="1" fontId="112" fillId="21" borderId="2" xfId="0" applyNumberFormat="1" applyFont="1" applyFill="1" applyBorder="1" applyAlignment="1">
      <alignment horizontal="center"/>
    </xf>
    <xf numFmtId="0" fontId="136" fillId="21" borderId="2" xfId="0" applyFont="1" applyFill="1" applyBorder="1" applyAlignment="1">
      <alignment horizontal="center"/>
    </xf>
    <xf numFmtId="0" fontId="112" fillId="21" borderId="9" xfId="0" applyFont="1" applyFill="1" applyBorder="1" applyAlignment="1">
      <alignment horizontal="center"/>
    </xf>
    <xf numFmtId="0" fontId="35" fillId="8" borderId="83" xfId="0" applyFont="1" applyFill="1" applyBorder="1" applyAlignment="1">
      <alignment horizontal="center" vertical="center" wrapText="1"/>
    </xf>
    <xf numFmtId="0" fontId="31" fillId="8" borderId="84" xfId="0" applyFont="1" applyFill="1" applyBorder="1" applyAlignment="1">
      <alignment horizontal="center" wrapText="1"/>
    </xf>
    <xf numFmtId="0" fontId="78" fillId="10" borderId="0" xfId="0" applyFont="1" applyFill="1" applyBorder="1" applyAlignment="1">
      <alignment horizontal="center" vertical="center" wrapText="1"/>
    </xf>
    <xf numFmtId="0" fontId="0" fillId="10" borderId="0" xfId="0" applyFill="1" applyBorder="1" applyAlignment="1">
      <alignment vertical="center"/>
    </xf>
    <xf numFmtId="0" fontId="41" fillId="8" borderId="57" xfId="0" applyFont="1" applyFill="1" applyBorder="1" applyAlignment="1">
      <alignment horizontal="center" vertical="center" wrapText="1"/>
    </xf>
    <xf numFmtId="0" fontId="38" fillId="0" borderId="58" xfId="0" applyFont="1" applyBorder="1" applyAlignment="1">
      <alignment vertical="center"/>
    </xf>
    <xf numFmtId="0" fontId="78" fillId="4" borderId="32" xfId="0" applyFont="1" applyFill="1" applyBorder="1" applyAlignment="1">
      <alignment horizontal="center" vertical="center" wrapText="1"/>
    </xf>
    <xf numFmtId="0" fontId="75" fillId="0" borderId="28" xfId="0" applyFont="1" applyBorder="1" applyAlignment="1"/>
    <xf numFmtId="0" fontId="36" fillId="8" borderId="83"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1" fillId="0" borderId="0" xfId="0" applyFont="1" applyFill="1" applyBorder="1" applyAlignment="1"/>
    <xf numFmtId="0" fontId="36" fillId="0" borderId="0" xfId="0" applyFont="1" applyFill="1" applyBorder="1" applyAlignment="1">
      <alignment horizontal="center" vertical="center" wrapText="1"/>
    </xf>
    <xf numFmtId="0" fontId="33" fillId="0" borderId="0" xfId="0" applyFont="1" applyFill="1" applyBorder="1" applyAlignment="1"/>
  </cellXfs>
  <cellStyles count="3">
    <cellStyle name="Lien hypertexte" xfId="1" builtinId="8"/>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2000" b="1" i="1"/>
              <a:t>Volumes et masses</a:t>
            </a:r>
            <a:r>
              <a:rPr lang="fr-FR" sz="1800" b="0" i="1"/>
              <a:t/>
            </a:r>
            <a:br>
              <a:rPr lang="fr-FR" sz="1800" b="0" i="1"/>
            </a:br>
            <a:r>
              <a:rPr lang="fr-FR" sz="1800" b="0" i="1"/>
              <a:t>selon Tab 4.1
du chap.4   AR5  </a:t>
            </a:r>
          </a:p>
        </c:rich>
      </c:tx>
      <c:layout>
        <c:manualLayout>
          <c:xMode val="edge"/>
          <c:yMode val="edge"/>
          <c:x val="0.73169612230174463"/>
          <c:y val="0.13156804396106009"/>
        </c:manualLayout>
      </c:layout>
      <c:overlay val="1"/>
      <c:spPr>
        <a:solidFill>
          <a:schemeClr val="bg1">
            <a:lumMod val="95000"/>
          </a:schemeClr>
        </a:solidFill>
      </c:spPr>
    </c:title>
    <c:autoTitleDeleted val="0"/>
    <c:plotArea>
      <c:layout>
        <c:manualLayout>
          <c:layoutTarget val="inner"/>
          <c:xMode val="edge"/>
          <c:yMode val="edge"/>
          <c:x val="2.7139745331208817E-2"/>
          <c:y val="8.8403751145094731E-2"/>
          <c:w val="0.93562711984847802"/>
          <c:h val="0.90636910971199169"/>
        </c:manualLayout>
      </c:layout>
      <c:pieChart>
        <c:varyColors val="1"/>
        <c:ser>
          <c:idx val="0"/>
          <c:order val="0"/>
          <c:spPr>
            <a:ln>
              <a:noFill/>
            </a:ln>
          </c:spPr>
          <c:explosion val="16"/>
          <c:dPt>
            <c:idx val="0"/>
            <c:bubble3D val="0"/>
            <c:spPr>
              <a:solidFill>
                <a:srgbClr val="00B0F0"/>
              </a:solidFill>
              <a:ln w="19050">
                <a:solidFill>
                  <a:schemeClr val="tx1"/>
                </a:solidFill>
              </a:ln>
            </c:spPr>
          </c:dPt>
          <c:dPt>
            <c:idx val="1"/>
            <c:bubble3D val="0"/>
            <c:explosion val="5"/>
            <c:spPr>
              <a:solidFill>
                <a:schemeClr val="tx2">
                  <a:lumMod val="20000"/>
                  <a:lumOff val="80000"/>
                </a:schemeClr>
              </a:solidFill>
              <a:ln w="19050">
                <a:solidFill>
                  <a:schemeClr val="tx1"/>
                </a:solidFill>
              </a:ln>
            </c:spPr>
          </c:dPt>
          <c:dPt>
            <c:idx val="2"/>
            <c:bubble3D val="0"/>
            <c:explosion val="24"/>
            <c:spPr>
              <a:solidFill>
                <a:srgbClr val="FF0000"/>
              </a:solidFill>
              <a:ln>
                <a:noFill/>
              </a:ln>
            </c:spPr>
          </c:dPt>
          <c:dPt>
            <c:idx val="3"/>
            <c:bubble3D val="0"/>
            <c:explosion val="10"/>
            <c:spPr>
              <a:solidFill>
                <a:srgbClr val="00B050"/>
              </a:solidFill>
              <a:ln>
                <a:noFill/>
              </a:ln>
            </c:spPr>
          </c:dPt>
          <c:dPt>
            <c:idx val="4"/>
            <c:bubble3D val="0"/>
            <c:explosion val="20"/>
            <c:spPr>
              <a:solidFill>
                <a:srgbClr val="7030A0"/>
              </a:solidFill>
              <a:ln>
                <a:noFill/>
              </a:ln>
            </c:spPr>
          </c:dPt>
          <c:dLbls>
            <c:dLbl>
              <c:idx val="0"/>
              <c:layout>
                <c:manualLayout>
                  <c:x val="-0.21644112130258275"/>
                  <c:y val="-0.23909970343615253"/>
                </c:manualLayout>
              </c:layout>
              <c:spPr/>
              <c:txPr>
                <a:bodyPr/>
                <a:lstStyle/>
                <a:p>
                  <a:pPr>
                    <a:defRPr sz="3000" b="1"/>
                  </a:pPr>
                  <a:endParaRPr lang="fr-FR"/>
                </a:p>
              </c:txPr>
              <c:dLblPos val="bestFit"/>
              <c:showLegendKey val="0"/>
              <c:showVal val="1"/>
              <c:showCatName val="1"/>
              <c:showSerName val="0"/>
              <c:showPercent val="0"/>
              <c:showBubbleSize val="0"/>
              <c:separator>
</c:separator>
            </c:dLbl>
            <c:dLbl>
              <c:idx val="1"/>
              <c:layout>
                <c:manualLayout>
                  <c:x val="0.11888760187768162"/>
                  <c:y val="0.15530000972163016"/>
                </c:manualLayout>
              </c:layout>
              <c:spPr/>
              <c:txPr>
                <a:bodyPr/>
                <a:lstStyle/>
                <a:p>
                  <a:pPr>
                    <a:defRPr sz="2400" b="1"/>
                  </a:pPr>
                  <a:endParaRPr lang="fr-FR"/>
                </a:p>
              </c:txPr>
              <c:dLblPos val="bestFit"/>
              <c:showLegendKey val="0"/>
              <c:showVal val="1"/>
              <c:showCatName val="1"/>
              <c:showSerName val="0"/>
              <c:showPercent val="0"/>
              <c:showBubbleSize val="0"/>
              <c:separator>
</c:separator>
            </c:dLbl>
            <c:dLbl>
              <c:idx val="2"/>
              <c:layout>
                <c:manualLayout>
                  <c:x val="-0.28875067985470942"/>
                  <c:y val="1.5364974132772748E-2"/>
                </c:manualLayout>
              </c:layout>
              <c:spPr/>
              <c:txPr>
                <a:bodyPr/>
                <a:lstStyle/>
                <a:p>
                  <a:pPr>
                    <a:defRPr sz="1800" b="1">
                      <a:solidFill>
                        <a:srgbClr val="FF0000"/>
                      </a:solidFill>
                    </a:defRPr>
                  </a:pPr>
                  <a:endParaRPr lang="fr-FR"/>
                </a:p>
              </c:txPr>
              <c:dLblPos val="bestFit"/>
              <c:showLegendKey val="0"/>
              <c:showVal val="1"/>
              <c:showCatName val="1"/>
              <c:showSerName val="0"/>
              <c:showPercent val="0"/>
              <c:showBubbleSize val="0"/>
              <c:separator>
</c:separator>
            </c:dLbl>
            <c:dLbl>
              <c:idx val="3"/>
              <c:layout>
                <c:manualLayout>
                  <c:x val="-0.14783655907924723"/>
                  <c:y val="4.5645744750788857E-2"/>
                </c:manualLayout>
              </c:layout>
              <c:spPr>
                <a:noFill/>
              </c:spPr>
              <c:txPr>
                <a:bodyPr/>
                <a:lstStyle/>
                <a:p>
                  <a:pPr>
                    <a:defRPr sz="2000" b="1">
                      <a:solidFill>
                        <a:srgbClr val="00B050"/>
                      </a:solidFill>
                    </a:defRPr>
                  </a:pPr>
                  <a:endParaRPr lang="fr-FR"/>
                </a:p>
              </c:txPr>
              <c:dLblPos val="bestFit"/>
              <c:showLegendKey val="0"/>
              <c:showVal val="1"/>
              <c:showCatName val="1"/>
              <c:showSerName val="0"/>
              <c:showPercent val="0"/>
              <c:showBubbleSize val="0"/>
              <c:separator>
</c:separator>
            </c:dLbl>
            <c:dLbl>
              <c:idx val="4"/>
              <c:layout>
                <c:manualLayout>
                  <c:x val="0.2280519395332439"/>
                  <c:y val="1.1167546558361439E-2"/>
                </c:manualLayout>
              </c:layout>
              <c:spPr/>
              <c:txPr>
                <a:bodyPr/>
                <a:lstStyle/>
                <a:p>
                  <a:pPr>
                    <a:defRPr sz="1800">
                      <a:solidFill>
                        <a:srgbClr val="7030A0"/>
                      </a:solidFill>
                    </a:defRPr>
                  </a:pPr>
                  <a:endParaRPr lang="fr-FR"/>
                </a:p>
              </c:txPr>
              <c:dLblPos val="bestFit"/>
              <c:showLegendKey val="0"/>
              <c:showVal val="1"/>
              <c:showCatName val="1"/>
              <c:showSerName val="0"/>
              <c:showPercent val="0"/>
              <c:showBubbleSize val="0"/>
              <c:separator>
</c:separator>
            </c:dLbl>
            <c:dLblPos val="bestFit"/>
            <c:showLegendKey val="0"/>
            <c:showVal val="1"/>
            <c:showCatName val="1"/>
            <c:showSerName val="0"/>
            <c:showPercent val="0"/>
            <c:showBubbleSize val="0"/>
            <c:separator>
</c:separator>
            <c:showLeaderLines val="1"/>
            <c:leaderLines>
              <c:spPr>
                <a:ln w="6350">
                  <a:solidFill>
                    <a:schemeClr val="tx1"/>
                  </a:solidFill>
                  <a:prstDash val="dash"/>
                </a:ln>
              </c:spPr>
            </c:leaderLines>
          </c:dLbls>
          <c:cat>
            <c:strRef>
              <c:f>'Chap. 4   AR4 &amp; AR5'!$B$30:$B$34</c:f>
              <c:strCache>
                <c:ptCount val="5"/>
                <c:pt idx="0">
                  <c:v>Antarctic</c:v>
                </c:pt>
                <c:pt idx="1">
                  <c:v>Greenland</c:v>
                </c:pt>
                <c:pt idx="2">
                  <c:v>Banquises N+S</c:v>
                </c:pt>
                <c:pt idx="3">
                  <c:v>Glaciers</c:v>
                </c:pt>
                <c:pt idx="4">
                  <c:v>Permafrost, snow, lac &amp; river</c:v>
                </c:pt>
              </c:strCache>
            </c:strRef>
          </c:cat>
          <c:val>
            <c:numRef>
              <c:f>'Chap. 4   AR4 &amp; AR5'!$C$30:$C$34</c:f>
              <c:numCache>
                <c:formatCode>0.0%</c:formatCode>
                <c:ptCount val="5"/>
                <c:pt idx="0">
                  <c:v>0.89053029095151071</c:v>
                </c:pt>
                <c:pt idx="1">
                  <c:v>0.10234168701091668</c:v>
                </c:pt>
                <c:pt idx="2" formatCode="0.00%">
                  <c:v>7.6305547558645434E-4</c:v>
                </c:pt>
                <c:pt idx="3" formatCode="0.00%">
                  <c:v>5.6731223704659566E-3</c:v>
                </c:pt>
                <c:pt idx="4" formatCode="0.00%">
                  <c:v>6.9184419152023874E-4</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800">
          <a:latin typeface="Arial" pitchFamily="34" charset="0"/>
          <a:cs typeface="Arial" pitchFamily="34" charset="0"/>
        </a:defRPr>
      </a:pPr>
      <a:endParaRPr lang="fr-FR"/>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itchFamily="34" charset="0"/>
                <a:cs typeface="Arial" pitchFamily="34" charset="0"/>
              </a:defRPr>
            </a:pPr>
            <a:r>
              <a:rPr lang="fr-FR" sz="2000">
                <a:latin typeface="Arial" pitchFamily="34" charset="0"/>
                <a:cs typeface="Arial" pitchFamily="34" charset="0"/>
              </a:rPr>
              <a:t>Surfaces moyennes</a:t>
            </a:r>
            <a:r>
              <a:rPr lang="fr-FR" sz="1600" b="1">
                <a:latin typeface="Arial" pitchFamily="34" charset="0"/>
                <a:cs typeface="Arial" pitchFamily="34" charset="0"/>
              </a:rPr>
              <a:t/>
            </a:r>
            <a:br>
              <a:rPr lang="fr-FR" sz="1600" b="1">
                <a:latin typeface="Arial" pitchFamily="34" charset="0"/>
                <a:cs typeface="Arial" pitchFamily="34" charset="0"/>
              </a:rPr>
            </a:br>
            <a:r>
              <a:rPr lang="fr-FR" sz="1600" b="0">
                <a:latin typeface="Arial" pitchFamily="34" charset="0"/>
                <a:cs typeface="Arial" pitchFamily="34" charset="0"/>
              </a:rPr>
              <a:t>(hors seasonal snow cov</a:t>
            </a:r>
            <a:r>
              <a:rPr lang="fr-FR" sz="1400" b="0">
                <a:latin typeface="Arial" pitchFamily="34" charset="0"/>
                <a:cs typeface="Arial" pitchFamily="34" charset="0"/>
              </a:rPr>
              <a:t>er)
Tab 4.1 → Northem Hemisphere only</a:t>
            </a:r>
            <a:endParaRPr lang="fr-FR" sz="1200" b="0">
              <a:latin typeface="Arial" pitchFamily="34" charset="0"/>
              <a:cs typeface="Arial" pitchFamily="34" charset="0"/>
            </a:endParaRPr>
          </a:p>
        </c:rich>
      </c:tx>
      <c:layout>
        <c:manualLayout>
          <c:xMode val="edge"/>
          <c:yMode val="edge"/>
          <c:x val="0.58932916232186316"/>
          <c:y val="1.9847464302449607E-3"/>
        </c:manualLayout>
      </c:layout>
      <c:overlay val="1"/>
      <c:spPr>
        <a:solidFill>
          <a:schemeClr val="bg1">
            <a:lumMod val="95000"/>
          </a:schemeClr>
        </a:solidFill>
      </c:spPr>
    </c:title>
    <c:autoTitleDeleted val="0"/>
    <c:plotArea>
      <c:layout>
        <c:manualLayout>
          <c:layoutTarget val="inner"/>
          <c:xMode val="edge"/>
          <c:yMode val="edge"/>
          <c:x val="4.8037115465005498E-2"/>
          <c:y val="9.3512771782708809E-2"/>
          <c:w val="0.82822395358474954"/>
          <c:h val="0.89410556444265621"/>
        </c:manualLayout>
      </c:layout>
      <c:pieChart>
        <c:varyColors val="1"/>
        <c:ser>
          <c:idx val="0"/>
          <c:order val="0"/>
          <c:spPr>
            <a:solidFill>
              <a:srgbClr val="00B0F0"/>
            </a:solidFill>
            <a:ln w="12700">
              <a:solidFill>
                <a:srgbClr val="1F497D">
                  <a:lumMod val="75000"/>
                </a:srgbClr>
              </a:solidFill>
            </a:ln>
          </c:spPr>
          <c:dPt>
            <c:idx val="0"/>
            <c:bubble3D val="0"/>
            <c:explosion val="1"/>
            <c:spPr>
              <a:solidFill>
                <a:srgbClr val="00B0F0"/>
              </a:solidFill>
              <a:ln w="38100">
                <a:solidFill>
                  <a:schemeClr val="tx1"/>
                </a:solidFill>
              </a:ln>
            </c:spPr>
          </c:dPt>
          <c:dPt>
            <c:idx val="1"/>
            <c:bubble3D val="0"/>
            <c:explosion val="3"/>
            <c:spPr>
              <a:solidFill>
                <a:srgbClr val="00B0F0">
                  <a:alpha val="90000"/>
                </a:srgbClr>
              </a:solidFill>
              <a:ln w="25400">
                <a:solidFill>
                  <a:srgbClr val="FF0000"/>
                </a:solidFill>
              </a:ln>
            </c:spPr>
          </c:dPt>
          <c:dPt>
            <c:idx val="2"/>
            <c:bubble3D val="0"/>
            <c:explosion val="13"/>
            <c:spPr>
              <a:solidFill>
                <a:schemeClr val="accent1">
                  <a:lumMod val="40000"/>
                  <a:lumOff val="60000"/>
                </a:schemeClr>
              </a:solidFill>
              <a:ln w="38100">
                <a:solidFill>
                  <a:schemeClr val="tx1"/>
                </a:solidFill>
              </a:ln>
            </c:spPr>
          </c:dPt>
          <c:dPt>
            <c:idx val="3"/>
            <c:bubble3D val="0"/>
            <c:explosion val="7"/>
            <c:spPr>
              <a:solidFill>
                <a:schemeClr val="accent6">
                  <a:lumMod val="40000"/>
                  <a:lumOff val="60000"/>
                </a:schemeClr>
              </a:solidFill>
              <a:ln w="22225">
                <a:solidFill>
                  <a:srgbClr val="FF0000"/>
                </a:solidFill>
              </a:ln>
            </c:spPr>
          </c:dPt>
          <c:dPt>
            <c:idx val="4"/>
            <c:bubble3D val="0"/>
            <c:explosion val="10"/>
            <c:spPr>
              <a:solidFill>
                <a:srgbClr val="00B050"/>
              </a:solidFill>
              <a:ln w="12700">
                <a:solidFill>
                  <a:srgbClr val="1F497D">
                    <a:lumMod val="75000"/>
                  </a:srgbClr>
                </a:solidFill>
              </a:ln>
            </c:spPr>
          </c:dPt>
          <c:dLbls>
            <c:dLbl>
              <c:idx val="0"/>
              <c:layout>
                <c:manualLayout>
                  <c:x val="-0.24087388554237521"/>
                  <c:y val="0.12256354325629125"/>
                </c:manualLayout>
              </c:layout>
              <c:spPr/>
              <c:txPr>
                <a:bodyPr/>
                <a:lstStyle/>
                <a:p>
                  <a:pPr>
                    <a:defRPr sz="2000" b="1">
                      <a:latin typeface="Arial" pitchFamily="34" charset="0"/>
                      <a:cs typeface="Arial" pitchFamily="34" charset="0"/>
                    </a:defRPr>
                  </a:pPr>
                  <a:endParaRPr lang="fr-FR"/>
                </a:p>
              </c:txPr>
              <c:dLblPos val="bestFit"/>
              <c:showLegendKey val="0"/>
              <c:showVal val="0"/>
              <c:showCatName val="1"/>
              <c:showSerName val="0"/>
              <c:showPercent val="1"/>
              <c:showBubbleSize val="0"/>
            </c:dLbl>
            <c:dLbl>
              <c:idx val="1"/>
              <c:layout>
                <c:manualLayout>
                  <c:x val="6.9122254455035274E-3"/>
                  <c:y val="-0.13156480521918482"/>
                </c:manualLayout>
              </c:layout>
              <c:tx>
                <c:rich>
                  <a:bodyPr/>
                  <a:lstStyle/>
                  <a:p>
                    <a:pPr>
                      <a:defRPr sz="1800" b="1">
                        <a:latin typeface="Arial" pitchFamily="34" charset="0"/>
                        <a:cs typeface="Arial" pitchFamily="34" charset="0"/>
                      </a:defRPr>
                    </a:pPr>
                    <a:r>
                      <a:rPr lang="en-US" sz="1800">
                        <a:solidFill>
                          <a:srgbClr val="C00000"/>
                        </a:solidFill>
                      </a:rPr>
                      <a:t>Banquise Sud
31%</a:t>
                    </a:r>
                  </a:p>
                </c:rich>
              </c:tx>
              <c:spPr/>
              <c:dLblPos val="bestFit"/>
              <c:showLegendKey val="0"/>
              <c:showVal val="0"/>
              <c:showCatName val="0"/>
              <c:showSerName val="0"/>
              <c:showPercent val="0"/>
              <c:showBubbleSize val="0"/>
            </c:dLbl>
            <c:dLbl>
              <c:idx val="2"/>
              <c:layout>
                <c:manualLayout>
                  <c:x val="4.3817968188274894E-2"/>
                  <c:y val="-6.0416346373589842E-2"/>
                </c:manualLayout>
              </c:layout>
              <c:dLblPos val="bestFit"/>
              <c:showLegendKey val="0"/>
              <c:showVal val="0"/>
              <c:showCatName val="1"/>
              <c:showSerName val="0"/>
              <c:showPercent val="1"/>
              <c:showBubbleSize val="0"/>
            </c:dLbl>
            <c:dLbl>
              <c:idx val="3"/>
              <c:layout>
                <c:manualLayout>
                  <c:x val="0.13622726895980108"/>
                  <c:y val="0.13097013796888649"/>
                </c:manualLayout>
              </c:layout>
              <c:tx>
                <c:rich>
                  <a:bodyPr/>
                  <a:lstStyle/>
                  <a:p>
                    <a:r>
                      <a:rPr lang="en-US" sz="1600">
                        <a:solidFill>
                          <a:srgbClr val="FF0000"/>
                        </a:solidFill>
                      </a:rPr>
                      <a:t>B</a:t>
                    </a:r>
                    <a:r>
                      <a:rPr lang="en-US">
                        <a:solidFill>
                          <a:srgbClr val="FF0000"/>
                        </a:solidFill>
                      </a:rPr>
                      <a:t>anquise Nord
28%</a:t>
                    </a:r>
                  </a:p>
                </c:rich>
              </c:tx>
              <c:dLblPos val="bestFit"/>
              <c:showLegendKey val="0"/>
              <c:showVal val="0"/>
              <c:showCatName val="0"/>
              <c:showSerName val="0"/>
              <c:showPercent val="0"/>
              <c:showBubbleSize val="0"/>
            </c:dLbl>
            <c:dLbl>
              <c:idx val="4"/>
              <c:layout>
                <c:manualLayout>
                  <c:x val="-0.21004359718193133"/>
                  <c:y val="9.6590926376329076E-3"/>
                </c:manualLayout>
              </c:layout>
              <c:tx>
                <c:rich>
                  <a:bodyPr/>
                  <a:lstStyle/>
                  <a:p>
                    <a:r>
                      <a:rPr lang="en-US" sz="1600">
                        <a:solidFill>
                          <a:srgbClr val="00B050"/>
                        </a:solidFill>
                      </a:rPr>
                      <a:t>G</a:t>
                    </a:r>
                    <a:r>
                      <a:rPr lang="en-US">
                        <a:solidFill>
                          <a:srgbClr val="00B050"/>
                        </a:solidFill>
                      </a:rPr>
                      <a:t>laciers
2%</a:t>
                    </a:r>
                  </a:p>
                </c:rich>
              </c:tx>
              <c:dLblPos val="bestFit"/>
              <c:showLegendKey val="0"/>
              <c:showVal val="0"/>
              <c:showCatName val="0"/>
              <c:showSerName val="0"/>
              <c:showPercent val="0"/>
              <c:showBubbleSize val="0"/>
            </c:dLbl>
            <c:txPr>
              <a:bodyPr/>
              <a:lstStyle/>
              <a:p>
                <a:pPr>
                  <a:defRPr sz="1600" b="1">
                    <a:latin typeface="Arial" pitchFamily="34" charset="0"/>
                    <a:cs typeface="Arial" pitchFamily="34" charset="0"/>
                  </a:defRPr>
                </a:pPr>
                <a:endParaRPr lang="fr-FR"/>
              </a:p>
            </c:txPr>
            <c:showLegendKey val="0"/>
            <c:showVal val="0"/>
            <c:showCatName val="1"/>
            <c:showSerName val="0"/>
            <c:showPercent val="1"/>
            <c:showBubbleSize val="0"/>
            <c:showLeaderLines val="1"/>
            <c:leaderLines>
              <c:spPr>
                <a:ln>
                  <a:solidFill>
                    <a:srgbClr val="00B050"/>
                  </a:solidFill>
                  <a:prstDash val="dash"/>
                </a:ln>
              </c:spPr>
            </c:leaderLines>
          </c:dLbls>
          <c:cat>
            <c:strRef>
              <c:f>'Chap. 4   AR4 &amp; AR5'!$Q$30:$Q$34</c:f>
              <c:strCache>
                <c:ptCount val="5"/>
                <c:pt idx="0">
                  <c:v>Antarctic</c:v>
                </c:pt>
                <c:pt idx="1">
                  <c:v>Banquise Sud</c:v>
                </c:pt>
                <c:pt idx="2">
                  <c:v>Greenland</c:v>
                </c:pt>
                <c:pt idx="3">
                  <c:v>Banquise Nord</c:v>
                </c:pt>
                <c:pt idx="4">
                  <c:v>Glaciers</c:v>
                </c:pt>
              </c:strCache>
            </c:strRef>
          </c:cat>
          <c:val>
            <c:numRef>
              <c:f>'Chap. 4   AR4 &amp; AR5'!$R$30:$R$34</c:f>
              <c:numCache>
                <c:formatCode>0.00</c:formatCode>
                <c:ptCount val="5"/>
                <c:pt idx="0">
                  <c:v>12.250800000000002</c:v>
                </c:pt>
                <c:pt idx="1">
                  <c:v>10.875</c:v>
                </c:pt>
                <c:pt idx="2">
                  <c:v>1.7711999999999997</c:v>
                </c:pt>
                <c:pt idx="3">
                  <c:v>10.149999999999999</c:v>
                </c:pt>
                <c:pt idx="4">
                  <c:v>0.73799999999999999</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emf"/><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5.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9.png"/><Relationship Id="rId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6</xdr:col>
      <xdr:colOff>795865</xdr:colOff>
      <xdr:row>0</xdr:row>
      <xdr:rowOff>153944</xdr:rowOff>
    </xdr:from>
    <xdr:to>
      <xdr:col>15</xdr:col>
      <xdr:colOff>149293</xdr:colOff>
      <xdr:row>27</xdr:row>
      <xdr:rowOff>89668</xdr:rowOff>
    </xdr:to>
    <xdr:pic>
      <xdr:nvPicPr>
        <xdr:cNvPr id="2" name="Image 5"/>
        <xdr:cNvPicPr>
          <a:picLocks noChangeAspect="1" noChangeArrowheads="1"/>
        </xdr:cNvPicPr>
      </xdr:nvPicPr>
      <xdr:blipFill>
        <a:blip xmlns:r="http://schemas.openxmlformats.org/officeDocument/2006/relationships" r:embed="rId1" cstate="print"/>
        <a:srcRect/>
        <a:stretch>
          <a:fillRect/>
        </a:stretch>
      </xdr:blipFill>
      <xdr:spPr bwMode="auto">
        <a:xfrm>
          <a:off x="7006165" y="153944"/>
          <a:ext cx="7217268" cy="5056364"/>
        </a:xfrm>
        <a:prstGeom prst="rect">
          <a:avLst/>
        </a:prstGeom>
        <a:ln w="85725" cap="sq" cmpd="thickThin">
          <a:solidFill>
            <a:srgbClr val="FF0000"/>
          </a:solidFill>
          <a:prstDash val="solid"/>
          <a:miter lim="800000"/>
        </a:ln>
        <a:effectLst>
          <a:innerShdw blurRad="76200">
            <a:srgbClr val="000000"/>
          </a:innerShdw>
        </a:effectLst>
      </xdr:spPr>
    </xdr:pic>
    <xdr:clientData/>
  </xdr:twoCellAnchor>
  <xdr:twoCellAnchor>
    <xdr:from>
      <xdr:col>2</xdr:col>
      <xdr:colOff>563880</xdr:colOff>
      <xdr:row>28</xdr:row>
      <xdr:rowOff>129540</xdr:rowOff>
    </xdr:from>
    <xdr:to>
      <xdr:col>11</xdr:col>
      <xdr:colOff>220980</xdr:colOff>
      <xdr:row>75</xdr:row>
      <xdr:rowOff>53340</xdr:rowOff>
    </xdr:to>
    <xdr:grpSp>
      <xdr:nvGrpSpPr>
        <xdr:cNvPr id="3" name="Groupe 2"/>
        <xdr:cNvGrpSpPr>
          <a:grpSpLocks/>
        </xdr:cNvGrpSpPr>
      </xdr:nvGrpSpPr>
      <xdr:grpSpPr bwMode="auto">
        <a:xfrm>
          <a:off x="2479766" y="5463540"/>
          <a:ext cx="9149443" cy="9198429"/>
          <a:chOff x="3551086" y="16372699"/>
          <a:chExt cx="8878302" cy="8436547"/>
        </a:xfrm>
      </xdr:grpSpPr>
      <xdr:graphicFrame macro="">
        <xdr:nvGraphicFramePr>
          <xdr:cNvPr id="4" name="Graphique 2"/>
          <xdr:cNvGraphicFramePr>
            <a:graphicFrameLocks/>
          </xdr:cNvGraphicFramePr>
        </xdr:nvGraphicFramePr>
        <xdr:xfrm>
          <a:off x="3551086" y="16372699"/>
          <a:ext cx="8878302" cy="843654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ZoneTexte 4"/>
          <xdr:cNvSpPr txBox="1"/>
        </xdr:nvSpPr>
        <xdr:spPr>
          <a:xfrm>
            <a:off x="7002095" y="22798865"/>
            <a:ext cx="2777277" cy="69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i="1">
                <a:latin typeface="Arial" pitchFamily="34" charset="0"/>
                <a:cs typeface="Arial" pitchFamily="34" charset="0"/>
              </a:rPr>
              <a:t>Antactique Ouest  ≈ 12%</a:t>
            </a:r>
          </a:p>
          <a:p>
            <a:pPr algn="ctr"/>
            <a:r>
              <a:rPr lang="fr-FR" sz="1800" b="1" i="1">
                <a:latin typeface="Arial" pitchFamily="34" charset="0"/>
                <a:cs typeface="Arial" pitchFamily="34" charset="0"/>
              </a:rPr>
              <a:t>Antarctique Est  ≈ 76%</a:t>
            </a:r>
          </a:p>
        </xdr:txBody>
      </xdr:sp>
    </xdr:grpSp>
    <xdr:clientData/>
  </xdr:twoCellAnchor>
  <xdr:twoCellAnchor>
    <xdr:from>
      <xdr:col>17</xdr:col>
      <xdr:colOff>289560</xdr:colOff>
      <xdr:row>36</xdr:row>
      <xdr:rowOff>160020</xdr:rowOff>
    </xdr:from>
    <xdr:to>
      <xdr:col>27</xdr:col>
      <xdr:colOff>137160</xdr:colOff>
      <xdr:row>73</xdr:row>
      <xdr:rowOff>68580</xdr:rowOff>
    </xdr:to>
    <xdr:graphicFrame macro="">
      <xdr:nvGraphicFramePr>
        <xdr:cNvPr id="6"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546430</xdr:colOff>
      <xdr:row>15</xdr:row>
      <xdr:rowOff>43544</xdr:rowOff>
    </xdr:from>
    <xdr:to>
      <xdr:col>6</xdr:col>
      <xdr:colOff>940076</xdr:colOff>
      <xdr:row>28</xdr:row>
      <xdr:rowOff>148046</xdr:rowOff>
    </xdr:to>
    <xdr:pic>
      <xdr:nvPicPr>
        <xdr:cNvPr id="7" name="Imag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66670" y="2969624"/>
          <a:ext cx="4683706" cy="2489562"/>
        </a:xfrm>
        <a:prstGeom prst="rect">
          <a:avLst/>
        </a:prstGeom>
        <a:noFill/>
        <a:ln w="762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224383</xdr:colOff>
      <xdr:row>4</xdr:row>
      <xdr:rowOff>49953</xdr:rowOff>
    </xdr:from>
    <xdr:to>
      <xdr:col>16</xdr:col>
      <xdr:colOff>417</xdr:colOff>
      <xdr:row>5</xdr:row>
      <xdr:rowOff>71120</xdr:rowOff>
    </xdr:to>
    <xdr:sp macro="" textlink="">
      <xdr:nvSpPr>
        <xdr:cNvPr id="8" name="Flèche droite 7"/>
        <xdr:cNvSpPr/>
      </xdr:nvSpPr>
      <xdr:spPr>
        <a:xfrm>
          <a:off x="14001343" y="880533"/>
          <a:ext cx="865694" cy="219287"/>
        </a:xfrm>
        <a:prstGeom prst="rightArrow">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87223</xdr:colOff>
      <xdr:row>5</xdr:row>
      <xdr:rowOff>65193</xdr:rowOff>
    </xdr:from>
    <xdr:to>
      <xdr:col>6</xdr:col>
      <xdr:colOff>960537</xdr:colOff>
      <xdr:row>6</xdr:row>
      <xdr:rowOff>86360</xdr:rowOff>
    </xdr:to>
    <xdr:sp macro="" textlink="">
      <xdr:nvSpPr>
        <xdr:cNvPr id="9" name="Flèche droite 8"/>
        <xdr:cNvSpPr/>
      </xdr:nvSpPr>
      <xdr:spPr>
        <a:xfrm flipH="1">
          <a:off x="6297523" y="1093893"/>
          <a:ext cx="873314" cy="219287"/>
        </a:xfrm>
        <a:prstGeom prst="rightArrow">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44636</xdr:colOff>
      <xdr:row>18</xdr:row>
      <xdr:rowOff>140868</xdr:rowOff>
    </xdr:from>
    <xdr:to>
      <xdr:col>13</xdr:col>
      <xdr:colOff>457199</xdr:colOff>
      <xdr:row>26</xdr:row>
      <xdr:rowOff>134983</xdr:rowOff>
    </xdr:to>
    <xdr:pic>
      <xdr:nvPicPr>
        <xdr:cNvPr id="10" name="Imag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34007" y="3613411"/>
          <a:ext cx="5920735" cy="1474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335280</xdr:colOff>
      <xdr:row>1</xdr:row>
      <xdr:rowOff>35560</xdr:rowOff>
    </xdr:from>
    <xdr:to>
      <xdr:col>5</xdr:col>
      <xdr:colOff>577850</xdr:colOff>
      <xdr:row>1</xdr:row>
      <xdr:rowOff>2562146</xdr:rowOff>
    </xdr:to>
    <xdr:pic>
      <xdr:nvPicPr>
        <xdr:cNvPr id="201253"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232410"/>
          <a:ext cx="5087620" cy="2526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811531</xdr:colOff>
      <xdr:row>0</xdr:row>
      <xdr:rowOff>66675</xdr:rowOff>
    </xdr:from>
    <xdr:to>
      <xdr:col>14</xdr:col>
      <xdr:colOff>41613</xdr:colOff>
      <xdr:row>1</xdr:row>
      <xdr:rowOff>719488</xdr:rowOff>
    </xdr:to>
    <xdr:pic>
      <xdr:nvPicPr>
        <xdr:cNvPr id="201254"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51" y="66675"/>
          <a:ext cx="3958590" cy="850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362358</xdr:colOff>
      <xdr:row>1</xdr:row>
      <xdr:rowOff>757905</xdr:rowOff>
    </xdr:from>
    <xdr:to>
      <xdr:col>14</xdr:col>
      <xdr:colOff>533400</xdr:colOff>
      <xdr:row>4</xdr:row>
      <xdr:rowOff>85035</xdr:rowOff>
    </xdr:to>
    <xdr:pic>
      <xdr:nvPicPr>
        <xdr:cNvPr id="201255"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80278" y="956025"/>
          <a:ext cx="4087722" cy="2352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478155</xdr:colOff>
      <xdr:row>4</xdr:row>
      <xdr:rowOff>106052</xdr:rowOff>
    </xdr:from>
    <xdr:to>
      <xdr:col>15</xdr:col>
      <xdr:colOff>34902</xdr:colOff>
      <xdr:row>15</xdr:row>
      <xdr:rowOff>49113</xdr:rowOff>
    </xdr:to>
    <xdr:pic>
      <xdr:nvPicPr>
        <xdr:cNvPr id="201256" name="Imag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96075" y="3329312"/>
          <a:ext cx="4022067" cy="2350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781050</xdr:colOff>
      <xdr:row>4</xdr:row>
      <xdr:rowOff>342900</xdr:rowOff>
    </xdr:from>
    <xdr:to>
      <xdr:col>7</xdr:col>
      <xdr:colOff>444500</xdr:colOff>
      <xdr:row>5</xdr:row>
      <xdr:rowOff>120650</xdr:rowOff>
    </xdr:to>
    <xdr:sp macro="" textlink="">
      <xdr:nvSpPr>
        <xdr:cNvPr id="2" name="Flèche gauche 1"/>
        <xdr:cNvSpPr/>
      </xdr:nvSpPr>
      <xdr:spPr>
        <a:xfrm>
          <a:off x="6350000" y="3568700"/>
          <a:ext cx="533400" cy="165100"/>
        </a:xfrm>
        <a:prstGeom prst="leftArrow">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496990</xdr:colOff>
      <xdr:row>1</xdr:row>
      <xdr:rowOff>2528154</xdr:rowOff>
    </xdr:from>
    <xdr:to>
      <xdr:col>7</xdr:col>
      <xdr:colOff>467159</xdr:colOff>
      <xdr:row>2</xdr:row>
      <xdr:rowOff>38954</xdr:rowOff>
    </xdr:to>
    <xdr:sp macro="" textlink="">
      <xdr:nvSpPr>
        <xdr:cNvPr id="9" name="Flèche gauche 8"/>
        <xdr:cNvSpPr/>
      </xdr:nvSpPr>
      <xdr:spPr>
        <a:xfrm rot="19450753">
          <a:off x="6065940" y="2725004"/>
          <a:ext cx="840119" cy="165100"/>
        </a:xfrm>
        <a:prstGeom prst="leftArrow">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787401</xdr:colOff>
      <xdr:row>1</xdr:row>
      <xdr:rowOff>2539800</xdr:rowOff>
    </xdr:from>
    <xdr:to>
      <xdr:col>4</xdr:col>
      <xdr:colOff>952501</xdr:colOff>
      <xdr:row>3</xdr:row>
      <xdr:rowOff>133350</xdr:rowOff>
    </xdr:to>
    <xdr:sp macro="" textlink="">
      <xdr:nvSpPr>
        <xdr:cNvPr id="10" name="Flèche gauche 9"/>
        <xdr:cNvSpPr/>
      </xdr:nvSpPr>
      <xdr:spPr>
        <a:xfrm rot="16200000">
          <a:off x="4425851" y="2870100"/>
          <a:ext cx="432000" cy="165100"/>
        </a:xfrm>
        <a:prstGeom prst="leftArrow">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9071</xdr:colOff>
      <xdr:row>13</xdr:row>
      <xdr:rowOff>48381</xdr:rowOff>
    </xdr:from>
    <xdr:to>
      <xdr:col>6</xdr:col>
      <xdr:colOff>633944</xdr:colOff>
      <xdr:row>17</xdr:row>
      <xdr:rowOff>212516</xdr:rowOff>
    </xdr:to>
    <xdr:pic>
      <xdr:nvPicPr>
        <xdr:cNvPr id="13" name="Image 1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84780" y="5278472"/>
          <a:ext cx="3118691" cy="967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550573</xdr:colOff>
      <xdr:row>26</xdr:row>
      <xdr:rowOff>123855</xdr:rowOff>
    </xdr:from>
    <xdr:to>
      <xdr:col>14</xdr:col>
      <xdr:colOff>83820</xdr:colOff>
      <xdr:row>35</xdr:row>
      <xdr:rowOff>31178</xdr:rowOff>
    </xdr:to>
    <xdr:pic>
      <xdr:nvPicPr>
        <xdr:cNvPr id="14" name="Imag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20793" y="8696355"/>
          <a:ext cx="4097627" cy="1690403"/>
        </a:xfrm>
        <a:prstGeom prst="rect">
          <a:avLst/>
        </a:prstGeom>
      </xdr:spPr>
    </xdr:pic>
    <xdr:clientData/>
  </xdr:twoCellAnchor>
  <xdr:twoCellAnchor>
    <xdr:from>
      <xdr:col>1</xdr:col>
      <xdr:colOff>194665</xdr:colOff>
      <xdr:row>13</xdr:row>
      <xdr:rowOff>76209</xdr:rowOff>
    </xdr:from>
    <xdr:to>
      <xdr:col>1</xdr:col>
      <xdr:colOff>952430</xdr:colOff>
      <xdr:row>24</xdr:row>
      <xdr:rowOff>194744</xdr:rowOff>
    </xdr:to>
    <xdr:sp macro="" textlink="">
      <xdr:nvSpPr>
        <xdr:cNvPr id="3" name="Flèche courbée vers le bas 2"/>
        <xdr:cNvSpPr/>
      </xdr:nvSpPr>
      <xdr:spPr>
        <a:xfrm rot="5400000" flipH="1">
          <a:off x="-459386" y="6267460"/>
          <a:ext cx="2743202" cy="757765"/>
        </a:xfrm>
        <a:prstGeom prst="curvedDown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twoCellAnchor>
    <xdr:from>
      <xdr:col>4</xdr:col>
      <xdr:colOff>440663</xdr:colOff>
      <xdr:row>1</xdr:row>
      <xdr:rowOff>443629</xdr:rowOff>
    </xdr:from>
    <xdr:to>
      <xdr:col>5</xdr:col>
      <xdr:colOff>113003</xdr:colOff>
      <xdr:row>1</xdr:row>
      <xdr:rowOff>756049</xdr:rowOff>
    </xdr:to>
    <xdr:cxnSp macro="">
      <xdr:nvCxnSpPr>
        <xdr:cNvPr id="5" name="Connecteur droit 4"/>
        <xdr:cNvCxnSpPr/>
      </xdr:nvCxnSpPr>
      <xdr:spPr>
        <a:xfrm flipV="1">
          <a:off x="4215103" y="641749"/>
          <a:ext cx="749300" cy="31242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534533</xdr:colOff>
      <xdr:row>1</xdr:row>
      <xdr:rowOff>747930</xdr:rowOff>
    </xdr:from>
    <xdr:to>
      <xdr:col>5</xdr:col>
      <xdr:colOff>105573</xdr:colOff>
      <xdr:row>1</xdr:row>
      <xdr:rowOff>1035930</xdr:rowOff>
    </xdr:to>
    <xdr:cxnSp macro="">
      <xdr:nvCxnSpPr>
        <xdr:cNvPr id="16" name="Connecteur droit 15"/>
        <xdr:cNvCxnSpPr/>
      </xdr:nvCxnSpPr>
      <xdr:spPr>
        <a:xfrm flipV="1">
          <a:off x="4308973" y="946050"/>
          <a:ext cx="648000" cy="2880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90157</xdr:colOff>
      <xdr:row>11</xdr:row>
      <xdr:rowOff>8076</xdr:rowOff>
    </xdr:from>
    <xdr:to>
      <xdr:col>5</xdr:col>
      <xdr:colOff>234652</xdr:colOff>
      <xdr:row>17</xdr:row>
      <xdr:rowOff>133067</xdr:rowOff>
    </xdr:to>
    <xdr:sp macro="" textlink="">
      <xdr:nvSpPr>
        <xdr:cNvPr id="11" name="Flèche gauche 10"/>
        <xdr:cNvSpPr/>
      </xdr:nvSpPr>
      <xdr:spPr>
        <a:xfrm rot="2788932" flipV="1">
          <a:off x="4339400" y="5429306"/>
          <a:ext cx="1330337" cy="144495"/>
        </a:xfrm>
        <a:prstGeom prst="leftArrow">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74827</xdr:colOff>
      <xdr:row>4</xdr:row>
      <xdr:rowOff>271520</xdr:rowOff>
    </xdr:from>
    <xdr:to>
      <xdr:col>14</xdr:col>
      <xdr:colOff>157440</xdr:colOff>
      <xdr:row>6</xdr:row>
      <xdr:rowOff>129910</xdr:rowOff>
    </xdr:to>
    <xdr:sp macro="" textlink="">
      <xdr:nvSpPr>
        <xdr:cNvPr id="4" name="Double flèche verticale 3"/>
        <xdr:cNvSpPr/>
      </xdr:nvSpPr>
      <xdr:spPr>
        <a:xfrm>
          <a:off x="10221619" y="3496304"/>
          <a:ext cx="82613" cy="431414"/>
        </a:xfrm>
        <a:prstGeom prst="upDownArrow">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11328</xdr:colOff>
      <xdr:row>1</xdr:row>
      <xdr:rowOff>1316475</xdr:rowOff>
    </xdr:from>
    <xdr:to>
      <xdr:col>14</xdr:col>
      <xdr:colOff>93941</xdr:colOff>
      <xdr:row>1</xdr:row>
      <xdr:rowOff>1747889</xdr:rowOff>
    </xdr:to>
    <xdr:sp macro="" textlink="">
      <xdr:nvSpPr>
        <xdr:cNvPr id="17" name="Double flèche verticale 16"/>
        <xdr:cNvSpPr/>
      </xdr:nvSpPr>
      <xdr:spPr>
        <a:xfrm>
          <a:off x="10141695" y="1515442"/>
          <a:ext cx="82613" cy="431414"/>
        </a:xfrm>
        <a:prstGeom prst="upDownArrow">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48491</xdr:colOff>
      <xdr:row>8</xdr:row>
      <xdr:rowOff>110836</xdr:rowOff>
    </xdr:from>
    <xdr:to>
      <xdr:col>6</xdr:col>
      <xdr:colOff>561108</xdr:colOff>
      <xdr:row>28</xdr:row>
      <xdr:rowOff>69354</xdr:rowOff>
    </xdr:to>
    <xdr:grpSp>
      <xdr:nvGrpSpPr>
        <xdr:cNvPr id="735332" name="Groupe 5"/>
        <xdr:cNvGrpSpPr>
          <a:grpSpLocks/>
        </xdr:cNvGrpSpPr>
      </xdr:nvGrpSpPr>
      <xdr:grpSpPr bwMode="auto">
        <a:xfrm>
          <a:off x="48491" y="1643303"/>
          <a:ext cx="6380017" cy="3971718"/>
          <a:chOff x="7985760" y="426720"/>
          <a:chExt cx="5445760" cy="2884906"/>
        </a:xfrm>
      </xdr:grpSpPr>
      <xdr:pic>
        <xdr:nvPicPr>
          <xdr:cNvPr id="735337"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85760" y="426720"/>
            <a:ext cx="5445760" cy="2693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Triangle isocèle 2"/>
          <xdr:cNvSpPr/>
        </xdr:nvSpPr>
        <xdr:spPr>
          <a:xfrm rot="938510">
            <a:off x="8689829" y="2410172"/>
            <a:ext cx="4382472" cy="719549"/>
          </a:xfrm>
          <a:prstGeom prst="triangle">
            <a:avLst>
              <a:gd name="adj" fmla="val 95772"/>
            </a:avLst>
          </a:prstGeom>
          <a:solidFill>
            <a:schemeClr val="accent1">
              <a:lumMod val="40000"/>
              <a:lumOff val="6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xnSp macro="">
        <xdr:nvCxnSpPr>
          <xdr:cNvPr id="4" name="Connecteur droit 3"/>
          <xdr:cNvCxnSpPr/>
        </xdr:nvCxnSpPr>
        <xdr:spPr>
          <a:xfrm>
            <a:off x="8754489" y="2598334"/>
            <a:ext cx="4152572" cy="713292"/>
          </a:xfrm>
          <a:prstGeom prst="line">
            <a:avLst/>
          </a:prstGeom>
          <a:ln w="28575">
            <a:solidFill>
              <a:srgbClr val="00B0F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407667</xdr:colOff>
      <xdr:row>0</xdr:row>
      <xdr:rowOff>36141</xdr:rowOff>
    </xdr:from>
    <xdr:to>
      <xdr:col>17</xdr:col>
      <xdr:colOff>942975</xdr:colOff>
      <xdr:row>36</xdr:row>
      <xdr:rowOff>9525</xdr:rowOff>
    </xdr:to>
    <xdr:sp macro="" textlink="">
      <xdr:nvSpPr>
        <xdr:cNvPr id="5" name="ZoneTexte 4"/>
        <xdr:cNvSpPr txBox="1"/>
      </xdr:nvSpPr>
      <xdr:spPr>
        <a:xfrm>
          <a:off x="6246492" y="36141"/>
          <a:ext cx="8574408" cy="6974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fr-FR" sz="1200" b="1">
              <a:latin typeface="Arial" pitchFamily="34" charset="0"/>
              <a:cs typeface="Arial" pitchFamily="34" charset="0"/>
            </a:rPr>
            <a:t>Zwally Robbins 2015  Mass gains of the antarctic ice exceed losses</a:t>
          </a:r>
          <a:endParaRPr lang="fr-FR" sz="1200">
            <a:latin typeface="Arial" pitchFamily="34" charset="0"/>
            <a:cs typeface="Arial" pitchFamily="34" charset="0"/>
          </a:endParaRPr>
        </a:p>
        <a:p>
          <a:pPr>
            <a:lnSpc>
              <a:spcPts val="1100"/>
            </a:lnSpc>
          </a:pPr>
          <a:r>
            <a:rPr lang="fr-FR" sz="1200" b="1">
              <a:latin typeface="Arial" pitchFamily="34" charset="0"/>
              <a:cs typeface="Arial" pitchFamily="34" charset="0"/>
              <a:hlinkClick xmlns:r="http://schemas.openxmlformats.org/officeDocument/2006/relationships" r:id=""/>
            </a:rPr>
            <a:t>https://www.cambridge.org/core/journals/journal-of-glaciology/article/mass-gains-of-the-antarctic-ice-sheet-exceed-losses/983F196E23C3A6E7908E5FB32EB42268/core-reader</a:t>
          </a:r>
          <a:endParaRPr lang="fr-FR" sz="1200">
            <a:latin typeface="Arial" pitchFamily="34" charset="0"/>
            <a:cs typeface="Arial" pitchFamily="34" charset="0"/>
          </a:endParaRPr>
        </a:p>
        <a:p>
          <a:pPr>
            <a:lnSpc>
              <a:spcPts val="1100"/>
            </a:lnSpc>
          </a:pPr>
          <a:r>
            <a:rPr lang="fr-FR" sz="1200" b="1">
              <a:latin typeface="Arial" pitchFamily="34" charset="0"/>
              <a:cs typeface="Arial" pitchFamily="34" charset="0"/>
            </a:rPr>
            <a:t/>
          </a:r>
          <a:br>
            <a:rPr lang="fr-FR" sz="1200" b="1">
              <a:latin typeface="Arial" pitchFamily="34" charset="0"/>
              <a:cs typeface="Arial" pitchFamily="34" charset="0"/>
            </a:rPr>
          </a:br>
          <a:r>
            <a:rPr lang="fr-FR" sz="1200" b="1">
              <a:latin typeface="Arial" pitchFamily="34" charset="0"/>
              <a:cs typeface="Arial" pitchFamily="34" charset="0"/>
            </a:rPr>
            <a:t>  </a:t>
          </a:r>
          <a:r>
            <a:rPr lang="fr-FR" sz="1200">
              <a:latin typeface="Arial" pitchFamily="34" charset="0"/>
              <a:cs typeface="Arial" pitchFamily="34" charset="0"/>
            </a:rPr>
            <a:t>Les changements massifs de la calotte glaciaire antarctique ont un impact sur l'élévation du niveau de la mer à mesure que le climat change, mais les taux récents sont incertains. Les données du satellite d'élévation des glaces, des nuages ​​et des terres (ICESat)</a:t>
          </a:r>
        </a:p>
        <a:p>
          <a:pPr>
            <a:lnSpc>
              <a:spcPts val="1100"/>
            </a:lnSpc>
          </a:pPr>
          <a:r>
            <a:rPr lang="fr-FR" sz="1200">
              <a:latin typeface="Arial" pitchFamily="34" charset="0"/>
              <a:cs typeface="Arial" pitchFamily="34" charset="0"/>
            </a:rPr>
            <a:t> </a:t>
          </a:r>
          <a:r>
            <a:rPr lang="fr-FR" sz="1200" b="1">
              <a:solidFill>
                <a:srgbClr val="FF0000"/>
              </a:solidFill>
              <a:latin typeface="Arial" pitchFamily="34" charset="0"/>
              <a:cs typeface="Arial" pitchFamily="34" charset="0"/>
            </a:rPr>
            <a:t>(2003-08) montrent que les gains de masse dus à l'accumulation de neige ont dépassé les pertes de débit de 82 ± 25 Gta-1, </a:t>
          </a:r>
          <a:r>
            <a:rPr lang="fr-FR" sz="1200">
              <a:latin typeface="Arial" pitchFamily="34" charset="0"/>
              <a:cs typeface="Arial" pitchFamily="34" charset="0"/>
            </a:rPr>
            <a:t>réduisant l'élévation du niveau de la mer de 0,23 mm a-1. Les données des satellites européens de télédétection (ERS) (</a:t>
          </a:r>
          <a:r>
            <a:rPr lang="fr-FR" sz="1200" b="1">
              <a:solidFill>
                <a:srgbClr val="FF0000"/>
              </a:solidFill>
              <a:latin typeface="Arial" pitchFamily="34" charset="0"/>
              <a:cs typeface="Arial" pitchFamily="34" charset="0"/>
            </a:rPr>
            <a:t>1992-2001) donnent un gain similaire de 112 ± 61 Gt a-1</a:t>
          </a:r>
          <a:r>
            <a:rPr lang="fr-FR" sz="1200">
              <a:latin typeface="Arial" pitchFamily="34" charset="0"/>
              <a:cs typeface="Arial" pitchFamily="34" charset="0"/>
            </a:rPr>
            <a:t>. Les gains de 136 Gt a-1 en Antarctique oriental (EA) et de 72 Gt a-1 dans quatre systèmes de drainage (WA2) en Antarctique occidental (WA) dépassent les pertes de 97 Gta-1 provenant de trois systèmes de drainage côtier (WA1) et 29 Gta-1 de la péninsule Antarctique (AP). L'épaississement dynamique de l'EA de 147 Gt a-1 est une réponse continue à l'accumulation accrue (&gt; 50%) depuis le début de l'Holocène. Une perte d'accumulation récente de 11 Gta-1 dans l'EA indique que l'épaississement n'est pas dû à l'augmentation simultanée des chutes de neige. De même, le gain WA2 est principalement (60Gta-1) un épaississement dynamique. Dans WA1 et AP, les pertes accrues de 66 ± 16Gta-1 dues à l'amincissement dynamique accru des glaciers en accélération sont compensées à 50% par une plus grande chute de neige WA. L'augmentation décennale de l'amincissement dynamique dans WA1 et AP représente environ un tiers de l'épaississement dynamique à long terme dans EA et WA2, ce qui devrait amortir un amincissement dynamique supplémentaire pendant des décennies.</a:t>
          </a:r>
        </a:p>
        <a:p>
          <a:pPr>
            <a:lnSpc>
              <a:spcPts val="1100"/>
            </a:lnSpc>
          </a:pPr>
          <a:endParaRPr lang="fr-FR" sz="1200">
            <a:latin typeface="Arial" pitchFamily="34" charset="0"/>
            <a:cs typeface="Arial" pitchFamily="34" charset="0"/>
          </a:endParaRPr>
        </a:p>
        <a:p>
          <a:pPr>
            <a:lnSpc>
              <a:spcPts val="1100"/>
            </a:lnSpc>
          </a:pPr>
          <a:r>
            <a:rPr lang="fr-FR" sz="1200" b="1">
              <a:latin typeface="Arial" pitchFamily="34" charset="0"/>
              <a:cs typeface="Arial" pitchFamily="34" charset="0"/>
            </a:rPr>
            <a:t>6. Conclusions</a:t>
          </a:r>
          <a:br>
            <a:rPr lang="fr-FR" sz="1200" b="1">
              <a:latin typeface="Arial" pitchFamily="34" charset="0"/>
              <a:cs typeface="Arial" pitchFamily="34" charset="0"/>
            </a:rPr>
          </a:br>
          <a:r>
            <a:rPr lang="fr-FR" sz="1200" b="1">
              <a:latin typeface="Arial" pitchFamily="34" charset="0"/>
              <a:cs typeface="Arial" pitchFamily="34" charset="0"/>
            </a:rPr>
            <a:t>A</a:t>
          </a:r>
          <a:r>
            <a:rPr lang="fr-FR" sz="1200">
              <a:latin typeface="Arial" pitchFamily="34" charset="0"/>
              <a:cs typeface="Arial" pitchFamily="34" charset="0"/>
            </a:rPr>
            <a:t>u cours de la période </a:t>
          </a:r>
          <a:r>
            <a:rPr lang="fr-FR" sz="1200" b="1">
              <a:solidFill>
                <a:srgbClr val="FF0000"/>
              </a:solidFill>
              <a:latin typeface="Arial" pitchFamily="34" charset="0"/>
              <a:cs typeface="Arial" pitchFamily="34" charset="0"/>
            </a:rPr>
            <a:t>1992-2001,</a:t>
          </a:r>
          <a:r>
            <a:rPr lang="fr-FR" sz="1200">
              <a:latin typeface="Arial" pitchFamily="34" charset="0"/>
              <a:cs typeface="Arial" pitchFamily="34" charset="0"/>
            </a:rPr>
            <a:t> le gain de masse en Antarctique dû à l'accumulation de neige a dépassé la perte de masse due au rejet de glace de </a:t>
          </a:r>
          <a:r>
            <a:rPr lang="fr-FR" sz="1200" b="1">
              <a:solidFill>
                <a:srgbClr val="FF0000"/>
              </a:solidFill>
              <a:latin typeface="Arial" pitchFamily="34" charset="0"/>
              <a:cs typeface="Arial" pitchFamily="34" charset="0"/>
            </a:rPr>
            <a:t>112 ± 61 Gt a − 1</a:t>
          </a:r>
          <a:r>
            <a:rPr lang="fr-FR" sz="1200">
              <a:latin typeface="Arial" pitchFamily="34" charset="0"/>
              <a:cs typeface="Arial" pitchFamily="34" charset="0"/>
            </a:rPr>
            <a:t>.</a:t>
          </a:r>
        </a:p>
        <a:p>
          <a:r>
            <a:rPr lang="fr-FR" sz="1200">
              <a:latin typeface="Arial" pitchFamily="34" charset="0"/>
              <a:cs typeface="Arial" pitchFamily="34" charset="0"/>
            </a:rPr>
            <a:t>Au cours de </a:t>
          </a:r>
          <a:r>
            <a:rPr lang="fr-FR" sz="1200" b="1">
              <a:solidFill>
                <a:srgbClr val="FF0000"/>
              </a:solidFill>
              <a:latin typeface="Arial" pitchFamily="34" charset="0"/>
              <a:cs typeface="Arial" pitchFamily="34" charset="0"/>
            </a:rPr>
            <a:t>2003-2008</a:t>
          </a:r>
          <a:r>
            <a:rPr lang="fr-FR" sz="1200">
              <a:latin typeface="Arial" pitchFamily="34" charset="0"/>
              <a:cs typeface="Arial" pitchFamily="34" charset="0"/>
            </a:rPr>
            <a:t>, le gain a dépassé la perte d'un niveau similaire de </a:t>
          </a:r>
          <a:r>
            <a:rPr lang="fr-FR" sz="1200" b="1">
              <a:solidFill>
                <a:srgbClr val="FF0000"/>
              </a:solidFill>
              <a:latin typeface="Arial" pitchFamily="34" charset="0"/>
              <a:cs typeface="Arial" pitchFamily="34" charset="0"/>
            </a:rPr>
            <a:t>82 ± 25 Gt a − 1, </a:t>
          </a:r>
          <a:r>
            <a:rPr lang="fr-FR" sz="1200">
              <a:latin typeface="Arial" pitchFamily="34" charset="0"/>
              <a:cs typeface="Arial" pitchFamily="34" charset="0"/>
            </a:rPr>
            <a:t>ce qui représente 4% du SMB et équivalent à 0,23 mm a − 1 d'épuisement du niveau de la mer. La distribution du bilan massique est principalement positive dans EA et WA2, et surtout négative dans AP et WA1. Bien que l'équilibre global de l'AIS ne montre aucun changement significatif au cours des 17 années, des augmentations significatives des pertes dynamiques sont survenues du PA et de plusieurs DS côtières en WA; cependant, ces augmentations des pertes dynamiques ont été partiellement compensées par des augmentations d'accumulation dans l'AO. En EA, aucun changement n'est intervenu dans les contributions à court terme de l'accumulation à court terme, qui sont légèrement négatives de 11 Gt a − 1 au cours des deux périodes par rapport au taux d'accumulation moyen sur 27 ans. Par conséquent, le bilan massique positif dans l'EA n'a clairement pas été causé par des augmentations contemporaines des chutes de neige.</a:t>
          </a:r>
          <a:br>
            <a:rPr lang="fr-FR" sz="1200">
              <a:latin typeface="Arial" pitchFamily="34" charset="0"/>
              <a:cs typeface="Arial" pitchFamily="34" charset="0"/>
            </a:rPr>
          </a:br>
          <a:r>
            <a:rPr lang="fr-FR" sz="1200">
              <a:latin typeface="Arial" pitchFamily="34" charset="0"/>
              <a:cs typeface="Arial" pitchFamily="34" charset="0"/>
            </a:rPr>
            <a:t>Les principales caractéristiques du déséquilibre antarctique sont le grand épaississement dynamique à long terme de 147 Gt a − 1 dans EA et 59 Gt a − 1 dans WA2, et l'augmentation à court terme de l'amincissement dynamique de −55 Gt a − 1 à −106 Gt a − 1 dans WA1 et de −9 Gt a − 1 à −29 Gt a − 1 dans l'AP.</a:t>
          </a:r>
          <a:br>
            <a:rPr lang="fr-FR" sz="1200">
              <a:latin typeface="Arial" pitchFamily="34" charset="0"/>
              <a:cs typeface="Arial" pitchFamily="34" charset="0"/>
            </a:rPr>
          </a:br>
          <a:r>
            <a:rPr lang="fr-FR" sz="1200">
              <a:latin typeface="Arial" pitchFamily="34" charset="0"/>
              <a:cs typeface="Arial" pitchFamily="34" charset="0"/>
            </a:rPr>
            <a:t>Alors qu'une augmentation continue de l'éclaircie dynamique est attendue en réponse à l'amincissement des plates-formes de glace adjacentes dans WA1 et AP (Cook et autres, 2005; Pritchard et Vaughan, 2007; Rott et autres, 2011; Shuman et autres, 2011; Pritchard et autres, 2012), l'épaississement dynamique à long terme dans EA et WA2 devrait fournir un tampon significatif contre de telles augmentations continues de la perte de masse. Si l'éclaircie dynamique continue d'augmenter au même rythme de 4 Gt a − 2 sans compensation de nouvelles augmentations des chutes de neige, le bilan positif de l'AIS diminuera de 82 Gt a − 1 récemment à zéro en ∼20 ans. Cependant, des augmentations compensatoires des chutes de neige avec le réchauffement climatique peuvent également être attendues (Gregory et Huybrechts, 2006; Winkelmann et al., 2012).</a:t>
          </a:r>
          <a:r>
            <a:rPr lang="fr-FR" sz="1400">
              <a:latin typeface="Arial" pitchFamily="34" charset="0"/>
              <a:cs typeface="Arial" pitchFamily="34" charset="0"/>
            </a:rPr>
            <a:t/>
          </a:r>
          <a:br>
            <a:rPr lang="fr-FR" sz="1400">
              <a:latin typeface="Arial" pitchFamily="34" charset="0"/>
              <a:cs typeface="Arial" pitchFamily="34" charset="0"/>
            </a:rPr>
          </a:br>
          <a:endParaRPr lang="fr-FR" sz="1400">
            <a:latin typeface="Arial" pitchFamily="34" charset="0"/>
            <a:cs typeface="Arial" pitchFamily="34" charset="0"/>
          </a:endParaRPr>
        </a:p>
        <a:p>
          <a:r>
            <a:rPr lang="fr-FR" sz="1200">
              <a:latin typeface="Arial" pitchFamily="34" charset="0"/>
              <a:cs typeface="Arial" pitchFamily="34" charset="0"/>
            </a:rPr>
            <a:t/>
          </a:r>
          <a:br>
            <a:rPr lang="fr-FR" sz="1200">
              <a:latin typeface="Arial" pitchFamily="34" charset="0"/>
              <a:cs typeface="Arial" pitchFamily="34" charset="0"/>
            </a:rPr>
          </a:br>
          <a:endParaRPr lang="fr-FR" sz="1200">
            <a:latin typeface="Arial" pitchFamily="34" charset="0"/>
            <a:cs typeface="Arial" pitchFamily="34" charset="0"/>
          </a:endParaRPr>
        </a:p>
      </xdr:txBody>
    </xdr:sp>
    <xdr:clientData/>
  </xdr:twoCellAnchor>
  <xdr:twoCellAnchor>
    <xdr:from>
      <xdr:col>4</xdr:col>
      <xdr:colOff>748146</xdr:colOff>
      <xdr:row>4</xdr:row>
      <xdr:rowOff>96982</xdr:rowOff>
    </xdr:from>
    <xdr:to>
      <xdr:col>6</xdr:col>
      <xdr:colOff>270164</xdr:colOff>
      <xdr:row>7</xdr:row>
      <xdr:rowOff>13855</xdr:rowOff>
    </xdr:to>
    <xdr:sp macro="" textlink="">
      <xdr:nvSpPr>
        <xdr:cNvPr id="6" name="Flèche gauche 5"/>
        <xdr:cNvSpPr/>
      </xdr:nvSpPr>
      <xdr:spPr>
        <a:xfrm>
          <a:off x="4634346" y="928255"/>
          <a:ext cx="1482436" cy="360218"/>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671933</xdr:colOff>
      <xdr:row>27</xdr:row>
      <xdr:rowOff>159327</xdr:rowOff>
    </xdr:from>
    <xdr:to>
      <xdr:col>6</xdr:col>
      <xdr:colOff>41551</xdr:colOff>
      <xdr:row>29</xdr:row>
      <xdr:rowOff>96982</xdr:rowOff>
    </xdr:to>
    <xdr:sp macro="" textlink="">
      <xdr:nvSpPr>
        <xdr:cNvPr id="7" name="ZoneTexte 6"/>
        <xdr:cNvSpPr txBox="1"/>
      </xdr:nvSpPr>
      <xdr:spPr>
        <a:xfrm>
          <a:off x="4558133" y="5444836"/>
          <a:ext cx="1330036" cy="297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solidFill>
                <a:srgbClr val="0070C0"/>
              </a:solidFill>
            </a:rPr>
            <a:t>Zwally et al, 2015</a:t>
          </a:r>
        </a:p>
      </xdr:txBody>
    </xdr:sp>
    <xdr:clientData/>
  </xdr:twoCellAnchor>
  <xdr:twoCellAnchor>
    <xdr:from>
      <xdr:col>5</xdr:col>
      <xdr:colOff>457200</xdr:colOff>
      <xdr:row>20</xdr:row>
      <xdr:rowOff>69272</xdr:rowOff>
    </xdr:from>
    <xdr:to>
      <xdr:col>6</xdr:col>
      <xdr:colOff>152400</xdr:colOff>
      <xdr:row>27</xdr:row>
      <xdr:rowOff>166255</xdr:rowOff>
    </xdr:to>
    <xdr:sp macro="" textlink="">
      <xdr:nvSpPr>
        <xdr:cNvPr id="8" name="Flèche courbée vers la gauche 7"/>
        <xdr:cNvSpPr/>
      </xdr:nvSpPr>
      <xdr:spPr>
        <a:xfrm>
          <a:off x="5514109" y="3997036"/>
          <a:ext cx="484909" cy="1454728"/>
        </a:xfrm>
        <a:prstGeom prst="curvedLeftArrow">
          <a:avLst/>
        </a:prstGeom>
        <a:solidFill>
          <a:schemeClr val="accent5">
            <a:lumMod val="40000"/>
            <a:lumOff val="60000"/>
          </a:schemeClr>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150720</xdr:colOff>
      <xdr:row>15</xdr:row>
      <xdr:rowOff>42309</xdr:rowOff>
    </xdr:from>
    <xdr:to>
      <xdr:col>19</xdr:col>
      <xdr:colOff>147620</xdr:colOff>
      <xdr:row>33</xdr:row>
      <xdr:rowOff>66017</xdr:rowOff>
    </xdr:to>
    <xdr:pic>
      <xdr:nvPicPr>
        <xdr:cNvPr id="7" name="Imag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787" y="3107242"/>
          <a:ext cx="5567966" cy="3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92319</xdr:colOff>
      <xdr:row>0</xdr:row>
      <xdr:rowOff>5926</xdr:rowOff>
    </xdr:from>
    <xdr:to>
      <xdr:col>18</xdr:col>
      <xdr:colOff>448738</xdr:colOff>
      <xdr:row>14</xdr:row>
      <xdr:rowOff>202574</xdr:rowOff>
    </xdr:to>
    <xdr:pic>
      <xdr:nvPicPr>
        <xdr:cNvPr id="8" name="Imag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8386" y="5926"/>
          <a:ext cx="5131619" cy="3058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135468</xdr:colOff>
      <xdr:row>18</xdr:row>
      <xdr:rowOff>18628</xdr:rowOff>
    </xdr:from>
    <xdr:to>
      <xdr:col>4</xdr:col>
      <xdr:colOff>177802</xdr:colOff>
      <xdr:row>23</xdr:row>
      <xdr:rowOff>98510</xdr:rowOff>
    </xdr:to>
    <xdr:pic>
      <xdr:nvPicPr>
        <xdr:cNvPr id="6" name="Imag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468" y="3676228"/>
          <a:ext cx="3369734" cy="1011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826768</xdr:colOff>
      <xdr:row>10</xdr:row>
      <xdr:rowOff>109216</xdr:rowOff>
    </xdr:from>
    <xdr:to>
      <xdr:col>4</xdr:col>
      <xdr:colOff>146471</xdr:colOff>
      <xdr:row>18</xdr:row>
      <xdr:rowOff>36825</xdr:rowOff>
    </xdr:to>
    <xdr:cxnSp macro="">
      <xdr:nvCxnSpPr>
        <xdr:cNvPr id="3" name="Connecteur droit avec flèche 2"/>
        <xdr:cNvCxnSpPr/>
      </xdr:nvCxnSpPr>
      <xdr:spPr>
        <a:xfrm flipH="1">
          <a:off x="3163568" y="2153916"/>
          <a:ext cx="303953" cy="152145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296341</xdr:colOff>
      <xdr:row>17</xdr:row>
      <xdr:rowOff>92456</xdr:rowOff>
    </xdr:from>
    <xdr:to>
      <xdr:col>12</xdr:col>
      <xdr:colOff>431812</xdr:colOff>
      <xdr:row>25</xdr:row>
      <xdr:rowOff>61757</xdr:rowOff>
    </xdr:to>
    <xdr:pic>
      <xdr:nvPicPr>
        <xdr:cNvPr id="12" name="Imag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8008" y="3555323"/>
          <a:ext cx="3589871" cy="1459434"/>
        </a:xfrm>
        <a:prstGeom prst="rect">
          <a:avLst/>
        </a:prstGeom>
      </xdr:spPr>
    </xdr:pic>
    <xdr:clientData/>
  </xdr:twoCellAnchor>
  <xdr:twoCellAnchor>
    <xdr:from>
      <xdr:col>7</xdr:col>
      <xdr:colOff>856826</xdr:colOff>
      <xdr:row>2</xdr:row>
      <xdr:rowOff>194733</xdr:rowOff>
    </xdr:from>
    <xdr:to>
      <xdr:col>12</xdr:col>
      <xdr:colOff>211692</xdr:colOff>
      <xdr:row>6</xdr:row>
      <xdr:rowOff>117686</xdr:rowOff>
    </xdr:to>
    <xdr:pic>
      <xdr:nvPicPr>
        <xdr:cNvPr id="10" name="Imag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48493" y="668866"/>
          <a:ext cx="2809266" cy="68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42328</xdr:colOff>
      <xdr:row>23</xdr:row>
      <xdr:rowOff>175575</xdr:rowOff>
    </xdr:from>
    <xdr:to>
      <xdr:col>7</xdr:col>
      <xdr:colOff>411827</xdr:colOff>
      <xdr:row>34</xdr:row>
      <xdr:rowOff>180544</xdr:rowOff>
    </xdr:to>
    <xdr:pic>
      <xdr:nvPicPr>
        <xdr:cNvPr id="2" name="Image 1"/>
        <xdr:cNvPicPr>
          <a:picLocks noChangeAspect="1"/>
        </xdr:cNvPicPr>
      </xdr:nvPicPr>
      <xdr:blipFill>
        <a:blip xmlns:r="http://schemas.openxmlformats.org/officeDocument/2006/relationships" r:embed="rId6"/>
        <a:stretch>
          <a:fillRect/>
        </a:stretch>
      </xdr:blipFill>
      <xdr:spPr>
        <a:xfrm>
          <a:off x="42328" y="4756042"/>
          <a:ext cx="5661166" cy="2053902"/>
        </a:xfrm>
        <a:prstGeom prst="rect">
          <a:avLst/>
        </a:prstGeom>
      </xdr:spPr>
    </xdr:pic>
    <xdr:clientData/>
  </xdr:twoCellAnchor>
  <xdr:twoCellAnchor>
    <xdr:from>
      <xdr:col>4</xdr:col>
      <xdr:colOff>645160</xdr:colOff>
      <xdr:row>10</xdr:row>
      <xdr:rowOff>122767</xdr:rowOff>
    </xdr:from>
    <xdr:to>
      <xdr:col>5</xdr:col>
      <xdr:colOff>905933</xdr:colOff>
      <xdr:row>29</xdr:row>
      <xdr:rowOff>110067</xdr:rowOff>
    </xdr:to>
    <xdr:cxnSp macro="">
      <xdr:nvCxnSpPr>
        <xdr:cNvPr id="11" name="Connecteur droit avec flèche 10"/>
        <xdr:cNvCxnSpPr/>
      </xdr:nvCxnSpPr>
      <xdr:spPr>
        <a:xfrm>
          <a:off x="3966210" y="2167467"/>
          <a:ext cx="1067223" cy="36068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320040</xdr:colOff>
      <xdr:row>0</xdr:row>
      <xdr:rowOff>53340</xdr:rowOff>
    </xdr:from>
    <xdr:to>
      <xdr:col>32</xdr:col>
      <xdr:colOff>281941</xdr:colOff>
      <xdr:row>21</xdr:row>
      <xdr:rowOff>60960</xdr:rowOff>
    </xdr:to>
    <xdr:pic>
      <xdr:nvPicPr>
        <xdr:cNvPr id="463559"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9620" y="53340"/>
          <a:ext cx="7094220" cy="4808220"/>
        </a:xfrm>
        <a:prstGeom prst="rect">
          <a:avLst/>
        </a:prstGeom>
        <a:noFill/>
        <a:ln w="508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358140</xdr:colOff>
      <xdr:row>25</xdr:row>
      <xdr:rowOff>190500</xdr:rowOff>
    </xdr:from>
    <xdr:to>
      <xdr:col>32</xdr:col>
      <xdr:colOff>99061</xdr:colOff>
      <xdr:row>47</xdr:row>
      <xdr:rowOff>160020</xdr:rowOff>
    </xdr:to>
    <xdr:pic>
      <xdr:nvPicPr>
        <xdr:cNvPr id="463560" name="Imag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67720" y="5905500"/>
          <a:ext cx="6873240" cy="4998720"/>
        </a:xfrm>
        <a:prstGeom prst="rect">
          <a:avLst/>
        </a:prstGeom>
        <a:noFill/>
        <a:ln w="50800">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39800</xdr:colOff>
      <xdr:row>30</xdr:row>
      <xdr:rowOff>148196</xdr:rowOff>
    </xdr:from>
    <xdr:to>
      <xdr:col>32</xdr:col>
      <xdr:colOff>786715</xdr:colOff>
      <xdr:row>46</xdr:row>
      <xdr:rowOff>217897</xdr:rowOff>
    </xdr:to>
    <xdr:sp macro="" textlink="">
      <xdr:nvSpPr>
        <xdr:cNvPr id="9" name="Flèche à quatre pointes 8"/>
        <xdr:cNvSpPr/>
      </xdr:nvSpPr>
      <xdr:spPr>
        <a:xfrm rot="19199291">
          <a:off x="27408300" y="7006196"/>
          <a:ext cx="3948587" cy="3719686"/>
        </a:xfrm>
        <a:prstGeom prst="quadArrow">
          <a:avLst>
            <a:gd name="adj1" fmla="val 7380"/>
            <a:gd name="adj2" fmla="val 3256"/>
            <a:gd name="adj3" fmla="val 225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76200</xdr:colOff>
      <xdr:row>1</xdr:row>
      <xdr:rowOff>106680</xdr:rowOff>
    </xdr:from>
    <xdr:to>
      <xdr:col>9</xdr:col>
      <xdr:colOff>1060565</xdr:colOff>
      <xdr:row>18</xdr:row>
      <xdr:rowOff>91440</xdr:rowOff>
    </xdr:to>
    <xdr:pic>
      <xdr:nvPicPr>
        <xdr:cNvPr id="463562" name="Imag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335280"/>
          <a:ext cx="8391005" cy="3870960"/>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784860</xdr:colOff>
      <xdr:row>22</xdr:row>
      <xdr:rowOff>76200</xdr:rowOff>
    </xdr:from>
    <xdr:to>
      <xdr:col>10</xdr:col>
      <xdr:colOff>129540</xdr:colOff>
      <xdr:row>45</xdr:row>
      <xdr:rowOff>114300</xdr:rowOff>
    </xdr:to>
    <xdr:pic>
      <xdr:nvPicPr>
        <xdr:cNvPr id="463563" name="Imag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4860" y="5105400"/>
          <a:ext cx="8412480" cy="5295900"/>
        </a:xfrm>
        <a:prstGeom prst="rect">
          <a:avLst/>
        </a:prstGeom>
        <a:noFill/>
        <a:ln w="44450">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1278569</xdr:colOff>
      <xdr:row>26</xdr:row>
      <xdr:rowOff>102103</xdr:rowOff>
    </xdr:from>
    <xdr:to>
      <xdr:col>10</xdr:col>
      <xdr:colOff>652640</xdr:colOff>
      <xdr:row>44</xdr:row>
      <xdr:rowOff>110349</xdr:rowOff>
    </xdr:to>
    <xdr:sp macro="" textlink="">
      <xdr:nvSpPr>
        <xdr:cNvPr id="12" name="Flèche à quatre pointes 11"/>
        <xdr:cNvSpPr/>
      </xdr:nvSpPr>
      <xdr:spPr>
        <a:xfrm rot="19199291">
          <a:off x="5896289" y="6045703"/>
          <a:ext cx="3854631" cy="4123046"/>
        </a:xfrm>
        <a:prstGeom prst="quadArrow">
          <a:avLst>
            <a:gd name="adj1" fmla="val 7380"/>
            <a:gd name="adj2" fmla="val 3256"/>
            <a:gd name="adj3" fmla="val 225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21</xdr:col>
      <xdr:colOff>1009650</xdr:colOff>
      <xdr:row>50</xdr:row>
      <xdr:rowOff>156210</xdr:rowOff>
    </xdr:from>
    <xdr:to>
      <xdr:col>27</xdr:col>
      <xdr:colOff>739008</xdr:colOff>
      <xdr:row>61</xdr:row>
      <xdr:rowOff>160020</xdr:rowOff>
    </xdr:to>
    <xdr:pic>
      <xdr:nvPicPr>
        <xdr:cNvPr id="10" name="Imag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06410" y="11586210"/>
          <a:ext cx="5474838" cy="2228850"/>
        </a:xfrm>
        <a:prstGeom prst="rect">
          <a:avLst/>
        </a:prstGeom>
      </xdr:spPr>
    </xdr:pic>
    <xdr:clientData/>
  </xdr:twoCellAnchor>
  <xdr:twoCellAnchor>
    <xdr:from>
      <xdr:col>11</xdr:col>
      <xdr:colOff>57708</xdr:colOff>
      <xdr:row>38</xdr:row>
      <xdr:rowOff>185389</xdr:rowOff>
    </xdr:from>
    <xdr:to>
      <xdr:col>11</xdr:col>
      <xdr:colOff>591008</xdr:colOff>
      <xdr:row>50</xdr:row>
      <xdr:rowOff>185389</xdr:rowOff>
    </xdr:to>
    <xdr:sp macro="" textlink="">
      <xdr:nvSpPr>
        <xdr:cNvPr id="2" name="Flèche gauche 1"/>
        <xdr:cNvSpPr/>
      </xdr:nvSpPr>
      <xdr:spPr>
        <a:xfrm rot="18251556">
          <a:off x="8889238" y="9977139"/>
          <a:ext cx="2743200" cy="533300"/>
        </a:xfrm>
        <a:prstGeom prst="lef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310496</xdr:colOff>
      <xdr:row>49</xdr:row>
      <xdr:rowOff>217476</xdr:rowOff>
    </xdr:from>
    <xdr:to>
      <xdr:col>17</xdr:col>
      <xdr:colOff>136384</xdr:colOff>
      <xdr:row>52</xdr:row>
      <xdr:rowOff>90114</xdr:rowOff>
    </xdr:to>
    <xdr:sp macro="" textlink="">
      <xdr:nvSpPr>
        <xdr:cNvPr id="11" name="Flèche gauche 10"/>
        <xdr:cNvSpPr/>
      </xdr:nvSpPr>
      <xdr:spPr>
        <a:xfrm rot="20516080">
          <a:off x="10851496" y="11418876"/>
          <a:ext cx="5083688" cy="516105"/>
        </a:xfrm>
        <a:prstGeom prst="lef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15239</xdr:colOff>
      <xdr:row>52</xdr:row>
      <xdr:rowOff>15240</xdr:rowOff>
    </xdr:from>
    <xdr:to>
      <xdr:col>5</xdr:col>
      <xdr:colOff>264816</xdr:colOff>
      <xdr:row>57</xdr:row>
      <xdr:rowOff>45720</xdr:rowOff>
    </xdr:to>
    <xdr:pic>
      <xdr:nvPicPr>
        <xdr:cNvPr id="13" name="Imag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39" y="11871960"/>
          <a:ext cx="3709057"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30480</xdr:colOff>
      <xdr:row>51</xdr:row>
      <xdr:rowOff>60960</xdr:rowOff>
    </xdr:from>
    <xdr:to>
      <xdr:col>21</xdr:col>
      <xdr:colOff>281446</xdr:colOff>
      <xdr:row>61</xdr:row>
      <xdr:rowOff>87942</xdr:rowOff>
    </xdr:to>
    <xdr:pic>
      <xdr:nvPicPr>
        <xdr:cNvPr id="14" name="Image 13"/>
        <xdr:cNvPicPr>
          <a:picLocks noChangeAspect="1"/>
        </xdr:cNvPicPr>
      </xdr:nvPicPr>
      <xdr:blipFill>
        <a:blip xmlns:r="http://schemas.openxmlformats.org/officeDocument/2006/relationships" r:embed="rId7"/>
        <a:stretch>
          <a:fillRect/>
        </a:stretch>
      </xdr:blipFill>
      <xdr:spPr>
        <a:xfrm>
          <a:off x="14417040" y="11689080"/>
          <a:ext cx="5661166" cy="20539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631834</xdr:colOff>
      <xdr:row>6</xdr:row>
      <xdr:rowOff>17461</xdr:rowOff>
    </xdr:from>
    <xdr:to>
      <xdr:col>16</xdr:col>
      <xdr:colOff>755081</xdr:colOff>
      <xdr:row>13</xdr:row>
      <xdr:rowOff>169937</xdr:rowOff>
    </xdr:to>
    <xdr:pic>
      <xdr:nvPicPr>
        <xdr:cNvPr id="2" name="Image 1"/>
        <xdr:cNvPicPr>
          <a:picLocks noChangeAspect="1"/>
        </xdr:cNvPicPr>
      </xdr:nvPicPr>
      <xdr:blipFill>
        <a:blip xmlns:r="http://schemas.openxmlformats.org/officeDocument/2006/relationships" r:embed="rId1"/>
        <a:stretch>
          <a:fillRect/>
        </a:stretch>
      </xdr:blipFill>
      <xdr:spPr>
        <a:xfrm>
          <a:off x="7663016" y="1153534"/>
          <a:ext cx="4071792" cy="1467503"/>
        </a:xfrm>
        <a:prstGeom prst="rect">
          <a:avLst/>
        </a:prstGeom>
      </xdr:spPr>
    </xdr:pic>
    <xdr:clientData/>
  </xdr:twoCellAnchor>
  <xdr:twoCellAnchor editAs="oneCell">
    <xdr:from>
      <xdr:col>7</xdr:col>
      <xdr:colOff>82534</xdr:colOff>
      <xdr:row>14</xdr:row>
      <xdr:rowOff>69912</xdr:rowOff>
    </xdr:from>
    <xdr:to>
      <xdr:col>13</xdr:col>
      <xdr:colOff>706166</xdr:colOff>
      <xdr:row>31</xdr:row>
      <xdr:rowOff>60532</xdr:rowOff>
    </xdr:to>
    <xdr:pic>
      <xdr:nvPicPr>
        <xdr:cNvPr id="5" name="Image 4"/>
        <xdr:cNvPicPr>
          <a:picLocks noChangeAspect="1"/>
        </xdr:cNvPicPr>
      </xdr:nvPicPr>
      <xdr:blipFill>
        <a:blip xmlns:r="http://schemas.openxmlformats.org/officeDocument/2006/relationships" r:embed="rId2"/>
        <a:stretch>
          <a:fillRect/>
        </a:stretch>
      </xdr:blipFill>
      <xdr:spPr>
        <a:xfrm>
          <a:off x="12763484" y="2825812"/>
          <a:ext cx="4833682" cy="2984933"/>
        </a:xfrm>
        <a:prstGeom prst="rect">
          <a:avLst/>
        </a:prstGeom>
      </xdr:spPr>
    </xdr:pic>
    <xdr:clientData/>
  </xdr:twoCellAnchor>
  <xdr:twoCellAnchor editAs="oneCell">
    <xdr:from>
      <xdr:col>14</xdr:col>
      <xdr:colOff>65692</xdr:colOff>
      <xdr:row>14</xdr:row>
      <xdr:rowOff>105096</xdr:rowOff>
    </xdr:from>
    <xdr:to>
      <xdr:col>17</xdr:col>
      <xdr:colOff>88553</xdr:colOff>
      <xdr:row>25</xdr:row>
      <xdr:rowOff>28518</xdr:rowOff>
    </xdr:to>
    <xdr:pic>
      <xdr:nvPicPr>
        <xdr:cNvPr id="10" name="Image 9"/>
        <xdr:cNvPicPr>
          <a:picLocks noChangeAspect="1"/>
        </xdr:cNvPicPr>
      </xdr:nvPicPr>
      <xdr:blipFill>
        <a:blip xmlns:r="http://schemas.openxmlformats.org/officeDocument/2006/relationships" r:embed="rId3"/>
        <a:stretch>
          <a:fillRect/>
        </a:stretch>
      </xdr:blipFill>
      <xdr:spPr>
        <a:xfrm>
          <a:off x="17750442" y="2860996"/>
          <a:ext cx="2404111" cy="1808794"/>
        </a:xfrm>
        <a:prstGeom prst="rect">
          <a:avLst/>
        </a:prstGeom>
      </xdr:spPr>
    </xdr:pic>
    <xdr:clientData/>
  </xdr:twoCellAnchor>
  <xdr:twoCellAnchor editAs="oneCell">
    <xdr:from>
      <xdr:col>11</xdr:col>
      <xdr:colOff>398832</xdr:colOff>
      <xdr:row>0</xdr:row>
      <xdr:rowOff>474</xdr:rowOff>
    </xdr:from>
    <xdr:to>
      <xdr:col>16</xdr:col>
      <xdr:colOff>354096</xdr:colOff>
      <xdr:row>7</xdr:row>
      <xdr:rowOff>9317</xdr:rowOff>
    </xdr:to>
    <xdr:pic>
      <xdr:nvPicPr>
        <xdr:cNvPr id="12" name="Image 11"/>
        <xdr:cNvPicPr>
          <a:picLocks noChangeAspect="1"/>
        </xdr:cNvPicPr>
      </xdr:nvPicPr>
      <xdr:blipFill>
        <a:blip xmlns:r="http://schemas.openxmlformats.org/officeDocument/2006/relationships" r:embed="rId4"/>
        <a:stretch>
          <a:fillRect/>
        </a:stretch>
      </xdr:blipFill>
      <xdr:spPr>
        <a:xfrm>
          <a:off x="7430014" y="474"/>
          <a:ext cx="3903809" cy="1383329"/>
        </a:xfrm>
        <a:prstGeom prst="rect">
          <a:avLst/>
        </a:prstGeom>
        <a:ln>
          <a:solidFill>
            <a:srgbClr val="FF0000"/>
          </a:solidFill>
        </a:ln>
      </xdr:spPr>
    </xdr:pic>
    <xdr:clientData/>
  </xdr:twoCellAnchor>
  <xdr:twoCellAnchor>
    <xdr:from>
      <xdr:col>3</xdr:col>
      <xdr:colOff>127192</xdr:colOff>
      <xdr:row>7</xdr:row>
      <xdr:rowOff>57878</xdr:rowOff>
    </xdr:from>
    <xdr:to>
      <xdr:col>7</xdr:col>
      <xdr:colOff>272130</xdr:colOff>
      <xdr:row>8</xdr:row>
      <xdr:rowOff>55711</xdr:rowOff>
    </xdr:to>
    <xdr:sp macro="" textlink="">
      <xdr:nvSpPr>
        <xdr:cNvPr id="14" name="Flèche gauche 13"/>
        <xdr:cNvSpPr/>
      </xdr:nvSpPr>
      <xdr:spPr>
        <a:xfrm rot="12899657" flipV="1">
          <a:off x="2994718" y="1389373"/>
          <a:ext cx="1676959" cy="182317"/>
        </a:xfrm>
        <a:prstGeom prst="leftArrow">
          <a:avLst>
            <a:gd name="adj1" fmla="val 26719"/>
            <a:gd name="adj2" fmla="val 79630"/>
          </a:avLst>
        </a:prstGeom>
        <a:solidFill>
          <a:schemeClr val="accent6">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27299</xdr:colOff>
      <xdr:row>4</xdr:row>
      <xdr:rowOff>48816</xdr:rowOff>
    </xdr:from>
    <xdr:to>
      <xdr:col>11</xdr:col>
      <xdr:colOff>420632</xdr:colOff>
      <xdr:row>5</xdr:row>
      <xdr:rowOff>43112</xdr:rowOff>
    </xdr:to>
    <xdr:sp macro="" textlink="">
      <xdr:nvSpPr>
        <xdr:cNvPr id="15" name="Flèche gauche 14"/>
        <xdr:cNvSpPr/>
      </xdr:nvSpPr>
      <xdr:spPr>
        <a:xfrm flipV="1">
          <a:off x="14907081" y="880089"/>
          <a:ext cx="393333" cy="188259"/>
        </a:xfrm>
        <a:prstGeom prst="leftArrow">
          <a:avLst>
            <a:gd name="adj1" fmla="val 26719"/>
            <a:gd name="adj2" fmla="val 79630"/>
          </a:avLst>
        </a:prstGeom>
        <a:solidFill>
          <a:schemeClr val="accent6">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511018</xdr:colOff>
      <xdr:row>10</xdr:row>
      <xdr:rowOff>131229</xdr:rowOff>
    </xdr:from>
    <xdr:to>
      <xdr:col>14</xdr:col>
      <xdr:colOff>142971</xdr:colOff>
      <xdr:row>11</xdr:row>
      <xdr:rowOff>125525</xdr:rowOff>
    </xdr:to>
    <xdr:sp macro="" textlink="">
      <xdr:nvSpPr>
        <xdr:cNvPr id="17" name="Flèche gauche 16"/>
        <xdr:cNvSpPr/>
      </xdr:nvSpPr>
      <xdr:spPr>
        <a:xfrm rot="1158423" flipV="1">
          <a:off x="7542200" y="2001593"/>
          <a:ext cx="2001080" cy="174405"/>
        </a:xfrm>
        <a:prstGeom prst="leftArrow">
          <a:avLst>
            <a:gd name="adj1" fmla="val 26719"/>
            <a:gd name="adj2" fmla="val 79630"/>
          </a:avLst>
        </a:prstGeom>
        <a:solidFill>
          <a:schemeClr val="accent6">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119257</xdr:colOff>
      <xdr:row>8</xdr:row>
      <xdr:rowOff>124475</xdr:rowOff>
    </xdr:from>
    <xdr:to>
      <xdr:col>5</xdr:col>
      <xdr:colOff>49985</xdr:colOff>
      <xdr:row>16</xdr:row>
      <xdr:rowOff>166497</xdr:rowOff>
    </xdr:to>
    <xdr:pic>
      <xdr:nvPicPr>
        <xdr:cNvPr id="13" name="Imag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7" y="1640454"/>
          <a:ext cx="3644475" cy="1517896"/>
        </a:xfrm>
        <a:prstGeom prst="rect">
          <a:avLst/>
        </a:prstGeom>
      </xdr:spPr>
    </xdr:pic>
    <xdr:clientData/>
  </xdr:twoCellAnchor>
  <xdr:twoCellAnchor>
    <xdr:from>
      <xdr:col>0</xdr:col>
      <xdr:colOff>152399</xdr:colOff>
      <xdr:row>17</xdr:row>
      <xdr:rowOff>152400</xdr:rowOff>
    </xdr:from>
    <xdr:to>
      <xdr:col>5</xdr:col>
      <xdr:colOff>146706</xdr:colOff>
      <xdr:row>23</xdr:row>
      <xdr:rowOff>82550</xdr:rowOff>
    </xdr:to>
    <xdr:pic>
      <xdr:nvPicPr>
        <xdr:cNvPr id="11" name="Imag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399" y="3314700"/>
          <a:ext cx="3709057"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254003</xdr:colOff>
      <xdr:row>1</xdr:row>
      <xdr:rowOff>101591</xdr:rowOff>
    </xdr:from>
    <xdr:to>
      <xdr:col>8</xdr:col>
      <xdr:colOff>282165</xdr:colOff>
      <xdr:row>14</xdr:row>
      <xdr:rowOff>110058</xdr:rowOff>
    </xdr:to>
    <xdr:pic>
      <xdr:nvPicPr>
        <xdr:cNvPr id="17" name="Image 16"/>
        <xdr:cNvPicPr>
          <a:picLocks noChangeAspect="1"/>
        </xdr:cNvPicPr>
      </xdr:nvPicPr>
      <xdr:blipFill>
        <a:blip xmlns:r="http://schemas.openxmlformats.org/officeDocument/2006/relationships" r:embed="rId1"/>
        <a:stretch>
          <a:fillRect/>
        </a:stretch>
      </xdr:blipFill>
      <xdr:spPr>
        <a:xfrm>
          <a:off x="254003" y="287858"/>
          <a:ext cx="6767629" cy="2455333"/>
        </a:xfrm>
        <a:prstGeom prst="rect">
          <a:avLst/>
        </a:prstGeom>
      </xdr:spPr>
    </xdr:pic>
    <xdr:clientData/>
  </xdr:twoCellAnchor>
  <xdr:twoCellAnchor editAs="oneCell">
    <xdr:from>
      <xdr:col>16</xdr:col>
      <xdr:colOff>9524</xdr:colOff>
      <xdr:row>10</xdr:row>
      <xdr:rowOff>85725</xdr:rowOff>
    </xdr:from>
    <xdr:to>
      <xdr:col>20</xdr:col>
      <xdr:colOff>770819</xdr:colOff>
      <xdr:row>18</xdr:row>
      <xdr:rowOff>14012</xdr:rowOff>
    </xdr:to>
    <xdr:pic>
      <xdr:nvPicPr>
        <xdr:cNvPr id="5" name="Image 4"/>
        <xdr:cNvPicPr>
          <a:picLocks noChangeAspect="1"/>
        </xdr:cNvPicPr>
      </xdr:nvPicPr>
      <xdr:blipFill>
        <a:blip xmlns:r="http://schemas.openxmlformats.org/officeDocument/2006/relationships" r:embed="rId2"/>
        <a:stretch>
          <a:fillRect/>
        </a:stretch>
      </xdr:blipFill>
      <xdr:spPr>
        <a:xfrm>
          <a:off x="13011149" y="1933575"/>
          <a:ext cx="3923595" cy="1414187"/>
        </a:xfrm>
        <a:prstGeom prst="rect">
          <a:avLst/>
        </a:prstGeom>
      </xdr:spPr>
    </xdr:pic>
    <xdr:clientData/>
  </xdr:twoCellAnchor>
  <xdr:twoCellAnchor editAs="oneCell">
    <xdr:from>
      <xdr:col>15</xdr:col>
      <xdr:colOff>95249</xdr:colOff>
      <xdr:row>18</xdr:row>
      <xdr:rowOff>80425</xdr:rowOff>
    </xdr:from>
    <xdr:to>
      <xdr:col>21</xdr:col>
      <xdr:colOff>261468</xdr:colOff>
      <xdr:row>22</xdr:row>
      <xdr:rowOff>110564</xdr:rowOff>
    </xdr:to>
    <xdr:pic>
      <xdr:nvPicPr>
        <xdr:cNvPr id="6" name="Image 5"/>
        <xdr:cNvPicPr>
          <a:picLocks noChangeAspect="1"/>
        </xdr:cNvPicPr>
      </xdr:nvPicPr>
      <xdr:blipFill>
        <a:blip xmlns:r="http://schemas.openxmlformats.org/officeDocument/2006/relationships" r:embed="rId3"/>
        <a:stretch>
          <a:fillRect/>
        </a:stretch>
      </xdr:blipFill>
      <xdr:spPr>
        <a:xfrm>
          <a:off x="12306299" y="3414175"/>
          <a:ext cx="4909669" cy="754039"/>
        </a:xfrm>
        <a:prstGeom prst="rect">
          <a:avLst/>
        </a:prstGeom>
      </xdr:spPr>
    </xdr:pic>
    <xdr:clientData/>
  </xdr:twoCellAnchor>
  <xdr:twoCellAnchor editAs="oneCell">
    <xdr:from>
      <xdr:col>8</xdr:col>
      <xdr:colOff>371475</xdr:colOff>
      <xdr:row>22</xdr:row>
      <xdr:rowOff>28576</xdr:rowOff>
    </xdr:from>
    <xdr:to>
      <xdr:col>15</xdr:col>
      <xdr:colOff>19050</xdr:colOff>
      <xdr:row>26</xdr:row>
      <xdr:rowOff>18698</xdr:rowOff>
    </xdr:to>
    <xdr:pic>
      <xdr:nvPicPr>
        <xdr:cNvPr id="7" name="Image 6"/>
        <xdr:cNvPicPr>
          <a:picLocks noChangeAspect="1"/>
        </xdr:cNvPicPr>
      </xdr:nvPicPr>
      <xdr:blipFill>
        <a:blip xmlns:r="http://schemas.openxmlformats.org/officeDocument/2006/relationships" r:embed="rId4"/>
        <a:stretch>
          <a:fillRect/>
        </a:stretch>
      </xdr:blipFill>
      <xdr:spPr>
        <a:xfrm>
          <a:off x="7105650" y="4086226"/>
          <a:ext cx="5124450" cy="733072"/>
        </a:xfrm>
        <a:prstGeom prst="rect">
          <a:avLst/>
        </a:prstGeom>
      </xdr:spPr>
    </xdr:pic>
    <xdr:clientData/>
  </xdr:twoCellAnchor>
  <xdr:twoCellAnchor editAs="oneCell">
    <xdr:from>
      <xdr:col>16</xdr:col>
      <xdr:colOff>28574</xdr:colOff>
      <xdr:row>1</xdr:row>
      <xdr:rowOff>142875</xdr:rowOff>
    </xdr:from>
    <xdr:to>
      <xdr:col>21</xdr:col>
      <xdr:colOff>648168</xdr:colOff>
      <xdr:row>9</xdr:row>
      <xdr:rowOff>144638</xdr:rowOff>
    </xdr:to>
    <xdr:pic>
      <xdr:nvPicPr>
        <xdr:cNvPr id="9" name="Image 8"/>
        <xdr:cNvPicPr>
          <a:picLocks noChangeAspect="1"/>
        </xdr:cNvPicPr>
      </xdr:nvPicPr>
      <xdr:blipFill>
        <a:blip xmlns:r="http://schemas.openxmlformats.org/officeDocument/2006/relationships" r:embed="rId5"/>
        <a:stretch>
          <a:fillRect/>
        </a:stretch>
      </xdr:blipFill>
      <xdr:spPr>
        <a:xfrm>
          <a:off x="13030199" y="323850"/>
          <a:ext cx="4572469" cy="1487663"/>
        </a:xfrm>
        <a:prstGeom prst="rect">
          <a:avLst/>
        </a:prstGeom>
      </xdr:spPr>
    </xdr:pic>
    <xdr:clientData/>
  </xdr:twoCellAnchor>
  <xdr:twoCellAnchor>
    <xdr:from>
      <xdr:col>7</xdr:col>
      <xdr:colOff>295276</xdr:colOff>
      <xdr:row>4</xdr:row>
      <xdr:rowOff>123824</xdr:rowOff>
    </xdr:from>
    <xdr:to>
      <xdr:col>8</xdr:col>
      <xdr:colOff>260701</xdr:colOff>
      <xdr:row>6</xdr:row>
      <xdr:rowOff>108149</xdr:rowOff>
    </xdr:to>
    <xdr:sp macro="" textlink="">
      <xdr:nvSpPr>
        <xdr:cNvPr id="10" name="Ellipse 9"/>
        <xdr:cNvSpPr/>
      </xdr:nvSpPr>
      <xdr:spPr>
        <a:xfrm>
          <a:off x="6238876" y="885824"/>
          <a:ext cx="756000" cy="34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695325</xdr:colOff>
      <xdr:row>3</xdr:row>
      <xdr:rowOff>142875</xdr:rowOff>
    </xdr:from>
    <xdr:to>
      <xdr:col>15</xdr:col>
      <xdr:colOff>47624</xdr:colOff>
      <xdr:row>7</xdr:row>
      <xdr:rowOff>104775</xdr:rowOff>
    </xdr:to>
    <xdr:sp macro="" textlink="">
      <xdr:nvSpPr>
        <xdr:cNvPr id="12" name="Ellipse 11"/>
        <xdr:cNvSpPr/>
      </xdr:nvSpPr>
      <xdr:spPr>
        <a:xfrm>
          <a:off x="10791825" y="685800"/>
          <a:ext cx="933449" cy="685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9384</xdr:colOff>
      <xdr:row>15</xdr:row>
      <xdr:rowOff>134607</xdr:rowOff>
    </xdr:from>
    <xdr:to>
      <xdr:col>14</xdr:col>
      <xdr:colOff>772089</xdr:colOff>
      <xdr:row>21</xdr:row>
      <xdr:rowOff>123825</xdr:rowOff>
    </xdr:to>
    <xdr:pic>
      <xdr:nvPicPr>
        <xdr:cNvPr id="14" name="Image 13"/>
        <xdr:cNvPicPr>
          <a:picLocks noChangeAspect="1"/>
        </xdr:cNvPicPr>
      </xdr:nvPicPr>
      <xdr:blipFill>
        <a:blip xmlns:r="http://schemas.openxmlformats.org/officeDocument/2006/relationships" r:embed="rId6"/>
        <a:stretch>
          <a:fillRect/>
        </a:stretch>
      </xdr:blipFill>
      <xdr:spPr>
        <a:xfrm>
          <a:off x="7534134" y="2925432"/>
          <a:ext cx="4658430" cy="1075068"/>
        </a:xfrm>
        <a:prstGeom prst="rect">
          <a:avLst/>
        </a:prstGeom>
      </xdr:spPr>
    </xdr:pic>
    <xdr:clientData/>
  </xdr:twoCellAnchor>
  <xdr:twoCellAnchor>
    <xdr:from>
      <xdr:col>7</xdr:col>
      <xdr:colOff>228601</xdr:colOff>
      <xdr:row>6</xdr:row>
      <xdr:rowOff>123825</xdr:rowOff>
    </xdr:from>
    <xdr:to>
      <xdr:col>8</xdr:col>
      <xdr:colOff>230026</xdr:colOff>
      <xdr:row>8</xdr:row>
      <xdr:rowOff>157875</xdr:rowOff>
    </xdr:to>
    <xdr:sp macro="" textlink="">
      <xdr:nvSpPr>
        <xdr:cNvPr id="15" name="Rectangle à coins arrondis 14"/>
        <xdr:cNvSpPr/>
      </xdr:nvSpPr>
      <xdr:spPr>
        <a:xfrm>
          <a:off x="6172201" y="1247775"/>
          <a:ext cx="792000" cy="396000"/>
        </a:xfrm>
        <a:prstGeom prst="roundRect">
          <a:avLst>
            <a:gd name="adj" fmla="val 43125"/>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742951</xdr:colOff>
      <xdr:row>11</xdr:row>
      <xdr:rowOff>0</xdr:rowOff>
    </xdr:from>
    <xdr:to>
      <xdr:col>15</xdr:col>
      <xdr:colOff>1</xdr:colOff>
      <xdr:row>15</xdr:row>
      <xdr:rowOff>9525</xdr:rowOff>
    </xdr:to>
    <xdr:sp macro="" textlink="">
      <xdr:nvSpPr>
        <xdr:cNvPr id="16" name="Rectangle à coins arrondis 15"/>
        <xdr:cNvSpPr/>
      </xdr:nvSpPr>
      <xdr:spPr>
        <a:xfrm>
          <a:off x="10963276" y="2095500"/>
          <a:ext cx="838200" cy="1028700"/>
        </a:xfrm>
        <a:prstGeom prst="round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139239</xdr:colOff>
      <xdr:row>1</xdr:row>
      <xdr:rowOff>88413</xdr:rowOff>
    </xdr:from>
    <xdr:to>
      <xdr:col>14</xdr:col>
      <xdr:colOff>97144</xdr:colOff>
      <xdr:row>4</xdr:row>
      <xdr:rowOff>93913</xdr:rowOff>
    </xdr:to>
    <xdr:sp macro="" textlink="">
      <xdr:nvSpPr>
        <xdr:cNvPr id="2" name="Flèche courbée vers le haut 1"/>
        <xdr:cNvSpPr/>
      </xdr:nvSpPr>
      <xdr:spPr>
        <a:xfrm rot="21308491" flipH="1" flipV="1">
          <a:off x="6873414" y="269388"/>
          <a:ext cx="4644205" cy="586525"/>
        </a:xfrm>
        <a:prstGeom prst="curvedUpArrow">
          <a:avLst/>
        </a:prstGeom>
        <a:solidFill>
          <a:srgbClr val="FFFF00"/>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twoCellAnchor>
    <xdr:from>
      <xdr:col>8</xdr:col>
      <xdr:colOff>10860</xdr:colOff>
      <xdr:row>10</xdr:row>
      <xdr:rowOff>107727</xdr:rowOff>
    </xdr:from>
    <xdr:to>
      <xdr:col>13</xdr:col>
      <xdr:colOff>759340</xdr:colOff>
      <xdr:row>13</xdr:row>
      <xdr:rowOff>57711</xdr:rowOff>
    </xdr:to>
    <xdr:sp macro="" textlink="">
      <xdr:nvSpPr>
        <xdr:cNvPr id="18" name="Flèche courbée vers le haut 17"/>
        <xdr:cNvSpPr/>
      </xdr:nvSpPr>
      <xdr:spPr>
        <a:xfrm rot="687031" flipH="1">
          <a:off x="6745035" y="1955577"/>
          <a:ext cx="4644205" cy="492909"/>
        </a:xfrm>
        <a:prstGeom prst="curvedUpArrow">
          <a:avLst/>
        </a:prstGeom>
        <a:solidFill>
          <a:srgbClr val="FFFF00"/>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asa.gov/feature/goddard/nasa-study-mass-gains-of-antarctic-ice-sheet-greater-than-losses" TargetMode="External"/><Relationship Id="rId1" Type="http://schemas.openxmlformats.org/officeDocument/2006/relationships/hyperlink" Target="https://www.ipcc.ch/site/assets/uploads/2018/02/WG1AR5_Chapter04_FINAL.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pcc.ch/site/assets/uploads/2018/02/WG1AR5_Chapter04_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cambridge.org/core/journals/journal-of-glaciology/article/mass-gains-of-the-antarctic-ice-sheet-exceed-losses/983F196E23C3A6E7908E5FB32EB42268/core-read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cambridge.org/core/journals/journal-of-glaciology/article/mass-gains-of-the-antarctic-ice-sheet-exceed-losses/983F196E23C3A6E7908E5FB32EB42268/core-reader"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hal.archives-ouvertes.fr/hal-00401223/file/Cazenave_et_al_GPC_2009.pdf" TargetMode="External"/><Relationship Id="rId2" Type="http://schemas.openxmlformats.org/officeDocument/2006/relationships/hyperlink" Target="https://agupubs.onlinelibrary.wiley.com/doi/pdf/10.1029/2011GL046583@10.1002/(ISSN)1944-8007.GRL40" TargetMode="External"/><Relationship Id="rId1" Type="http://schemas.openxmlformats.org/officeDocument/2006/relationships/hyperlink" Target="https://www.ipcc.ch/site/assets/uploads/2018/02/WG1AR5_Chapter04_FINAL.pdf"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pcc.ch/site/assets/uploads/2018/02/WG1AR5_Chapter04_FINAL.pdf" TargetMode="External"/><Relationship Id="rId1" Type="http://schemas.openxmlformats.org/officeDocument/2006/relationships/hyperlink" Target="https://www.ipcc.ch/site/assets/uploads/2018/02/WG1AR5_TS_FINAL.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B78"/>
  <sheetViews>
    <sheetView zoomScale="70" zoomScaleNormal="70" workbookViewId="0">
      <selection activeCell="A30" sqref="A30"/>
    </sheetView>
  </sheetViews>
  <sheetFormatPr baseColWidth="10" defaultRowHeight="14.4" x14ac:dyDescent="0.3"/>
  <cols>
    <col min="1" max="1" width="3.6640625" customWidth="1"/>
    <col min="2" max="2" width="24.33203125" customWidth="1"/>
    <col min="3" max="3" width="19.109375" style="1" customWidth="1"/>
    <col min="4" max="4" width="18.44140625" style="1" customWidth="1"/>
    <col min="5" max="5" width="10.109375" style="1" customWidth="1"/>
    <col min="6" max="6" width="14.88671875" customWidth="1"/>
    <col min="7" max="7" width="18.6640625" customWidth="1"/>
    <col min="8" max="8" width="17.88671875" customWidth="1"/>
    <col min="9" max="9" width="14.109375" customWidth="1"/>
    <col min="11" max="11" width="13.44140625" customWidth="1"/>
    <col min="15" max="15" width="4.33203125" customWidth="1"/>
    <col min="17" max="17" width="21.109375" customWidth="1"/>
    <col min="18" max="18" width="18.21875" customWidth="1"/>
    <col min="19" max="19" width="12.5546875" customWidth="1"/>
    <col min="21" max="21" width="1.33203125" customWidth="1"/>
    <col min="23" max="23" width="8.33203125" customWidth="1"/>
  </cols>
  <sheetData>
    <row r="1" spans="2:25" s="349" customFormat="1" ht="19.8" customHeight="1" x14ac:dyDescent="0.3">
      <c r="B1" s="204" t="s">
        <v>3</v>
      </c>
      <c r="D1" s="350"/>
      <c r="E1" s="350"/>
      <c r="O1" s="97"/>
      <c r="Q1" s="351" t="s">
        <v>136</v>
      </c>
      <c r="R1" s="351" t="s">
        <v>137</v>
      </c>
      <c r="S1" s="351" t="s">
        <v>138</v>
      </c>
      <c r="T1" s="352" t="s">
        <v>139</v>
      </c>
      <c r="U1"/>
      <c r="V1" s="353" t="s">
        <v>140</v>
      </c>
    </row>
    <row r="2" spans="2:25" ht="15" thickBot="1" x14ac:dyDescent="0.35">
      <c r="B2" s="354"/>
      <c r="C2" s="354"/>
      <c r="D2" s="355" t="s">
        <v>141</v>
      </c>
      <c r="E2" s="355" t="s">
        <v>141</v>
      </c>
      <c r="F2" s="355" t="s">
        <v>141</v>
      </c>
      <c r="O2" s="97"/>
      <c r="Q2" s="356" t="s">
        <v>142</v>
      </c>
      <c r="R2" s="357">
        <v>8.3000000000000007</v>
      </c>
      <c r="S2" s="357"/>
      <c r="T2" s="358">
        <f>R2*R8/100</f>
        <v>12.250800000000002</v>
      </c>
      <c r="V2" s="359"/>
      <c r="W2" s="360"/>
    </row>
    <row r="3" spans="2:25" ht="15" thickTop="1" x14ac:dyDescent="0.3">
      <c r="B3" s="361" t="s">
        <v>143</v>
      </c>
      <c r="C3" s="362" t="s">
        <v>144</v>
      </c>
      <c r="D3" s="363" t="s">
        <v>145</v>
      </c>
      <c r="E3" s="364" t="s">
        <v>146</v>
      </c>
      <c r="F3" s="365" t="s">
        <v>147</v>
      </c>
      <c r="O3" s="97"/>
      <c r="Q3" s="356" t="s">
        <v>148</v>
      </c>
      <c r="R3" s="357"/>
      <c r="S3" s="357">
        <v>3</v>
      </c>
      <c r="T3" s="358">
        <f>S3*S8/100</f>
        <v>10.875</v>
      </c>
      <c r="V3" s="359"/>
      <c r="W3" s="366"/>
    </row>
    <row r="4" spans="2:25" ht="15.6" x14ac:dyDescent="0.3">
      <c r="B4" s="367" t="s">
        <v>149</v>
      </c>
      <c r="C4" s="368">
        <v>58.3</v>
      </c>
      <c r="D4" s="369">
        <f>C4*C20</f>
        <v>25.441872791519433</v>
      </c>
      <c r="E4" s="370">
        <f t="shared" ref="E4:E10" si="0">D4/$D$10</f>
        <v>0.89053029095151071</v>
      </c>
      <c r="F4" s="371">
        <f>D4*0.917</f>
        <v>23.330197349823322</v>
      </c>
      <c r="G4" s="372"/>
      <c r="O4" s="97"/>
      <c r="Q4" s="356" t="s">
        <v>150</v>
      </c>
      <c r="R4" s="357"/>
      <c r="S4" s="357">
        <v>0.45</v>
      </c>
      <c r="T4" s="358">
        <f>S4*S8/100</f>
        <v>1.6312500000000001</v>
      </c>
      <c r="V4" s="373">
        <f>T2+T3+T4</f>
        <v>24.757050000000003</v>
      </c>
      <c r="W4" s="374">
        <f>V4/T8</f>
        <v>0.66166572010824176</v>
      </c>
    </row>
    <row r="5" spans="2:25" ht="15.6" x14ac:dyDescent="0.3">
      <c r="B5" s="375" t="s">
        <v>0</v>
      </c>
      <c r="C5" s="376">
        <v>7.36</v>
      </c>
      <c r="D5" s="377">
        <f>C5*C21</f>
        <v>2.9238356164383563</v>
      </c>
      <c r="E5" s="378">
        <f t="shared" si="0"/>
        <v>0.10234168701091668</v>
      </c>
      <c r="F5" s="379">
        <f t="shared" ref="F5:F10" si="1">D5*0.917</f>
        <v>2.6811572602739728</v>
      </c>
      <c r="O5" s="97"/>
      <c r="Q5" s="380" t="s">
        <v>0</v>
      </c>
      <c r="R5" s="381">
        <v>1.2</v>
      </c>
      <c r="S5" s="381"/>
      <c r="T5" s="382">
        <f>R5*R8/100</f>
        <v>1.7711999999999997</v>
      </c>
      <c r="V5" s="383"/>
      <c r="W5" s="384"/>
    </row>
    <row r="6" spans="2:25" ht="15.6" x14ac:dyDescent="0.3">
      <c r="B6" s="375" t="s">
        <v>4</v>
      </c>
      <c r="C6" s="376">
        <v>0.41</v>
      </c>
      <c r="D6" s="385">
        <f>C6*0.3625/0.917</f>
        <v>0.16207742639040346</v>
      </c>
      <c r="E6" s="378">
        <f t="shared" si="0"/>
        <v>5.6731223704659566E-3</v>
      </c>
      <c r="F6" s="379">
        <f t="shared" si="1"/>
        <v>0.14862499999999998</v>
      </c>
      <c r="O6" s="97"/>
      <c r="Q6" s="380" t="s">
        <v>151</v>
      </c>
      <c r="R6" s="381">
        <v>0.5</v>
      </c>
      <c r="S6" s="381"/>
      <c r="T6" s="382">
        <f>R6*R8/100</f>
        <v>0.73799999999999999</v>
      </c>
      <c r="V6" s="383"/>
      <c r="W6" s="384"/>
      <c r="Y6" t="s">
        <v>152</v>
      </c>
    </row>
    <row r="7" spans="2:25" ht="16.2" thickBot="1" x14ac:dyDescent="0.35">
      <c r="B7" s="375" t="s">
        <v>153</v>
      </c>
      <c r="C7" s="376">
        <v>0.05</v>
      </c>
      <c r="D7" s="385">
        <f>C7*0.3625/0.917</f>
        <v>1.9765539803707741E-2</v>
      </c>
      <c r="E7" s="378">
        <f t="shared" si="0"/>
        <v>6.9184419152023874E-4</v>
      </c>
      <c r="F7" s="379">
        <f t="shared" si="1"/>
        <v>1.8124999999999999E-2</v>
      </c>
      <c r="O7" s="97"/>
      <c r="Q7" s="386" t="s">
        <v>154</v>
      </c>
      <c r="R7" s="387"/>
      <c r="S7" s="387">
        <f>5.6/2</f>
        <v>2.8</v>
      </c>
      <c r="T7" s="388">
        <f>S7*S8/100</f>
        <v>10.149999999999999</v>
      </c>
      <c r="V7" s="389">
        <f>T5+T6+T7</f>
        <v>12.659199999999998</v>
      </c>
      <c r="W7" s="390">
        <f>V7/T8</f>
        <v>0.33833427989175818</v>
      </c>
      <c r="Y7" s="391">
        <f>T3+T7</f>
        <v>21.024999999999999</v>
      </c>
    </row>
    <row r="8" spans="2:25" ht="19.2" thickTop="1" thickBot="1" x14ac:dyDescent="0.4">
      <c r="B8" s="375" t="s">
        <v>155</v>
      </c>
      <c r="C8" s="392" t="s">
        <v>156</v>
      </c>
      <c r="D8" s="393">
        <f>(3.4+11.1)/2000</f>
        <v>7.2500000000000004E-3</v>
      </c>
      <c r="E8" s="394">
        <f t="shared" si="0"/>
        <v>2.537684494496236E-4</v>
      </c>
      <c r="F8" s="395">
        <f t="shared" si="1"/>
        <v>6.6482500000000005E-3</v>
      </c>
      <c r="O8" s="97"/>
      <c r="Q8" s="396">
        <f>R8+S8</f>
        <v>510.1</v>
      </c>
      <c r="R8" s="397">
        <v>147.6</v>
      </c>
      <c r="S8" s="397">
        <v>362.5</v>
      </c>
      <c r="T8" s="398">
        <f>T2+T3+T4+T5+T6+T7</f>
        <v>37.416250000000005</v>
      </c>
      <c r="V8" s="399">
        <f>V4+V7</f>
        <v>37.416250000000005</v>
      </c>
      <c r="W8" s="400">
        <f>W4+W7</f>
        <v>1</v>
      </c>
      <c r="Y8" s="401">
        <f>Y7/Q8</f>
        <v>4.1217408351303664E-2</v>
      </c>
    </row>
    <row r="9" spans="2:25" ht="16.2" thickTop="1" x14ac:dyDescent="0.3">
      <c r="B9" s="375" t="s">
        <v>157</v>
      </c>
      <c r="C9" s="392" t="s">
        <v>158</v>
      </c>
      <c r="D9" s="393">
        <f>(13+16.1)/2000</f>
        <v>1.455E-2</v>
      </c>
      <c r="E9" s="394">
        <f t="shared" si="0"/>
        <v>5.0928702613683074E-4</v>
      </c>
      <c r="F9" s="395">
        <f t="shared" si="1"/>
        <v>1.3342350000000001E-2</v>
      </c>
      <c r="O9" s="97"/>
      <c r="Q9" s="402"/>
      <c r="S9" s="403" t="s">
        <v>159</v>
      </c>
      <c r="T9" s="404">
        <f>T8/Q8</f>
        <v>7.3350813565967468E-2</v>
      </c>
    </row>
    <row r="10" spans="2:25" ht="21" customHeight="1" thickBot="1" x14ac:dyDescent="0.45">
      <c r="B10" s="405" t="s">
        <v>1</v>
      </c>
      <c r="C10" s="406">
        <f>66.1</f>
        <v>66.099999999999994</v>
      </c>
      <c r="D10" s="407">
        <f>D4+D5+D6+D7+D8+D9</f>
        <v>28.5693513741519</v>
      </c>
      <c r="E10" s="408">
        <f t="shared" si="0"/>
        <v>1</v>
      </c>
      <c r="F10" s="409">
        <f t="shared" si="1"/>
        <v>26.198095210097293</v>
      </c>
      <c r="G10" s="372"/>
      <c r="O10" s="97"/>
      <c r="Q10" s="402"/>
      <c r="T10" s="1"/>
    </row>
    <row r="11" spans="2:25" ht="7.95" customHeight="1" thickTop="1" thickBot="1" x14ac:dyDescent="0.35">
      <c r="B11" s="1"/>
      <c r="C11"/>
      <c r="D11"/>
      <c r="E11"/>
      <c r="O11" s="97"/>
      <c r="S11" s="410"/>
      <c r="T11" s="410"/>
    </row>
    <row r="12" spans="2:25" ht="13.2" customHeight="1" thickBot="1" x14ac:dyDescent="0.35">
      <c r="B12" s="411" t="s">
        <v>160</v>
      </c>
      <c r="C12" s="411"/>
      <c r="D12" s="412">
        <f>D8+D9</f>
        <v>2.18E-2</v>
      </c>
      <c r="E12" s="413">
        <f>D12/$D$10</f>
        <v>7.6305547558645434E-4</v>
      </c>
      <c r="F12" s="414">
        <f>D12*0.917</f>
        <v>1.9990600000000001E-2</v>
      </c>
      <c r="O12" s="97"/>
      <c r="Q12" s="415" t="s">
        <v>161</v>
      </c>
      <c r="R12" s="416">
        <f>(1.3+30.3)/2</f>
        <v>15.8</v>
      </c>
      <c r="S12" s="417"/>
      <c r="T12" s="418">
        <f>R12*R8/100</f>
        <v>23.320799999999998</v>
      </c>
    </row>
    <row r="13" spans="2:25" ht="13.2" customHeight="1" thickBot="1" x14ac:dyDescent="0.35">
      <c r="B13" s="411" t="s">
        <v>162</v>
      </c>
      <c r="C13" s="411"/>
      <c r="D13" s="412">
        <f>D8+D9+D6</f>
        <v>0.18387742639040344</v>
      </c>
      <c r="E13" s="413">
        <f>D13/$D$10</f>
        <v>6.4361778460524099E-3</v>
      </c>
      <c r="F13" s="414">
        <f>D13*0.917</f>
        <v>0.16861559999999998</v>
      </c>
      <c r="G13">
        <f>1</f>
        <v>1</v>
      </c>
      <c r="O13" s="97"/>
      <c r="Q13" s="419" t="s">
        <v>163</v>
      </c>
      <c r="R13" s="420" t="s">
        <v>164</v>
      </c>
      <c r="S13" s="417"/>
      <c r="T13" s="418">
        <f>T12-T5-T6</f>
        <v>20.811599999999999</v>
      </c>
      <c r="V13" s="421" t="s">
        <v>165</v>
      </c>
      <c r="W13" s="422">
        <f>V4/T14</f>
        <v>0.42517541004862797</v>
      </c>
    </row>
    <row r="14" spans="2:25" ht="13.2" customHeight="1" thickBot="1" x14ac:dyDescent="0.35">
      <c r="B14" s="423" t="s">
        <v>166</v>
      </c>
      <c r="C14" s="412"/>
      <c r="D14" s="412">
        <f>D12+D7+D6</f>
        <v>0.20364296619411121</v>
      </c>
      <c r="E14" s="424">
        <f>D14/D10</f>
        <v>7.1280220375726502E-3</v>
      </c>
      <c r="F14" s="414">
        <f>D14*0.917</f>
        <v>0.18674059999999998</v>
      </c>
      <c r="O14" s="97"/>
      <c r="Q14" s="425" t="s">
        <v>167</v>
      </c>
      <c r="R14" s="426" t="s">
        <v>168</v>
      </c>
      <c r="S14" s="427"/>
      <c r="T14" s="428">
        <f>T13+T8</f>
        <v>58.227850000000004</v>
      </c>
      <c r="U14" s="97"/>
      <c r="V14" s="421" t="s">
        <v>169</v>
      </c>
      <c r="W14" s="429">
        <f>1-W13</f>
        <v>0.57482458995137198</v>
      </c>
    </row>
    <row r="15" spans="2:25" ht="13.95" customHeight="1" x14ac:dyDescent="0.3">
      <c r="B15" s="430" t="s">
        <v>170</v>
      </c>
      <c r="C15" s="430"/>
      <c r="D15" s="431">
        <f>D4+D5</f>
        <v>28.36570840795779</v>
      </c>
      <c r="E15" s="432">
        <f>D15/D10</f>
        <v>0.99287197796242743</v>
      </c>
      <c r="F15" s="433">
        <f>D15*0.917</f>
        <v>26.011354610097296</v>
      </c>
      <c r="G15" s="4"/>
      <c r="O15" s="97"/>
      <c r="T15" s="434">
        <f>T14/Q8</f>
        <v>0.11414987257400509</v>
      </c>
    </row>
    <row r="16" spans="2:25" x14ac:dyDescent="0.3">
      <c r="O16" s="97"/>
    </row>
    <row r="17" spans="2:18" x14ac:dyDescent="0.3">
      <c r="O17" s="97"/>
    </row>
    <row r="18" spans="2:18" x14ac:dyDescent="0.3">
      <c r="O18" s="97"/>
    </row>
    <row r="19" spans="2:18" x14ac:dyDescent="0.3">
      <c r="O19" s="97"/>
      <c r="Q19" s="2" t="s">
        <v>171</v>
      </c>
    </row>
    <row r="20" spans="2:18" x14ac:dyDescent="0.3">
      <c r="B20" s="435" t="s">
        <v>172</v>
      </c>
      <c r="C20" s="436">
        <f>24.7/56.6</f>
        <v>0.43639575971731448</v>
      </c>
      <c r="O20" s="97"/>
      <c r="Q20" s="437" t="s">
        <v>173</v>
      </c>
      <c r="R20" s="438"/>
    </row>
    <row r="21" spans="2:18" x14ac:dyDescent="0.3">
      <c r="B21" s="435" t="s">
        <v>174</v>
      </c>
      <c r="C21" s="436">
        <f>2.9/7.3</f>
        <v>0.39726027397260272</v>
      </c>
      <c r="O21" s="97"/>
      <c r="Q21" s="233" t="s">
        <v>175</v>
      </c>
      <c r="R21" s="438">
        <f>(114+192)/2</f>
        <v>153</v>
      </c>
    </row>
    <row r="22" spans="2:18" x14ac:dyDescent="0.3">
      <c r="B22" s="439" t="s">
        <v>176</v>
      </c>
      <c r="C22" s="440">
        <f>D10/C10</f>
        <v>0.43221409038051289</v>
      </c>
      <c r="O22" s="97"/>
      <c r="Q22" s="441" t="s">
        <v>177</v>
      </c>
      <c r="R22" s="442">
        <f>R21/917</f>
        <v>0.16684841875681569</v>
      </c>
    </row>
    <row r="23" spans="2:18" x14ac:dyDescent="0.3">
      <c r="O23" s="97"/>
    </row>
    <row r="24" spans="2:18" x14ac:dyDescent="0.3">
      <c r="O24" s="97"/>
    </row>
    <row r="25" spans="2:18" x14ac:dyDescent="0.3">
      <c r="O25" s="97"/>
    </row>
    <row r="26" spans="2:18" x14ac:dyDescent="0.3">
      <c r="O26" s="97"/>
    </row>
    <row r="27" spans="2:18" x14ac:dyDescent="0.3">
      <c r="O27" s="97"/>
    </row>
    <row r="28" spans="2:18" ht="15" thickBot="1" x14ac:dyDescent="0.35">
      <c r="O28" s="97"/>
    </row>
    <row r="29" spans="2:18" ht="18" x14ac:dyDescent="0.35">
      <c r="B29" s="443" t="s">
        <v>178</v>
      </c>
      <c r="C29" s="444" t="s">
        <v>2</v>
      </c>
      <c r="O29" s="97"/>
      <c r="Q29" s="445" t="s">
        <v>179</v>
      </c>
      <c r="R29" s="446" t="s">
        <v>180</v>
      </c>
    </row>
    <row r="30" spans="2:18" ht="18" x14ac:dyDescent="0.35">
      <c r="B30" s="447" t="s">
        <v>149</v>
      </c>
      <c r="C30" s="448">
        <f>E4</f>
        <v>0.89053029095151071</v>
      </c>
      <c r="O30" s="97"/>
      <c r="Q30" s="449" t="s">
        <v>149</v>
      </c>
      <c r="R30" s="450">
        <f>T2</f>
        <v>12.250800000000002</v>
      </c>
    </row>
    <row r="31" spans="2:18" ht="18" x14ac:dyDescent="0.35">
      <c r="B31" s="447" t="s">
        <v>0</v>
      </c>
      <c r="C31" s="448">
        <f>E5</f>
        <v>0.10234168701091668</v>
      </c>
      <c r="O31" s="97"/>
      <c r="Q31" s="451" t="s">
        <v>155</v>
      </c>
      <c r="R31" s="450">
        <f>T3</f>
        <v>10.875</v>
      </c>
    </row>
    <row r="32" spans="2:18" ht="18" x14ac:dyDescent="0.35">
      <c r="B32" s="452" t="s">
        <v>160</v>
      </c>
      <c r="C32" s="453">
        <f>E12</f>
        <v>7.6305547558645434E-4</v>
      </c>
      <c r="O32" s="97"/>
      <c r="Q32" s="454" t="s">
        <v>0</v>
      </c>
      <c r="R32" s="450">
        <f>T5</f>
        <v>1.7711999999999997</v>
      </c>
    </row>
    <row r="33" spans="2:18" ht="18" x14ac:dyDescent="0.35">
      <c r="B33" s="455" t="s">
        <v>4</v>
      </c>
      <c r="C33" s="456">
        <f>E6</f>
        <v>5.6731223704659566E-3</v>
      </c>
      <c r="O33" s="97"/>
      <c r="Q33" s="457" t="s">
        <v>157</v>
      </c>
      <c r="R33" s="450">
        <f>T7</f>
        <v>10.149999999999999</v>
      </c>
    </row>
    <row r="34" spans="2:18" ht="18" x14ac:dyDescent="0.35">
      <c r="B34" s="458" t="s">
        <v>181</v>
      </c>
      <c r="C34" s="456">
        <f>E7</f>
        <v>6.9184419152023874E-4</v>
      </c>
      <c r="O34" s="97"/>
      <c r="Q34" s="459" t="s">
        <v>4</v>
      </c>
      <c r="R34" s="450">
        <f>T6</f>
        <v>0.73799999999999999</v>
      </c>
    </row>
    <row r="35" spans="2:18" ht="15.6" x14ac:dyDescent="0.3">
      <c r="B35" s="460" t="s">
        <v>1</v>
      </c>
      <c r="C35" s="448">
        <v>1</v>
      </c>
      <c r="O35" s="97"/>
      <c r="Q35" s="205"/>
      <c r="R35" s="461"/>
    </row>
    <row r="36" spans="2:18" ht="16.2" thickBot="1" x14ac:dyDescent="0.35">
      <c r="O36" s="97"/>
      <c r="Q36" s="462" t="s">
        <v>1</v>
      </c>
      <c r="R36" s="463">
        <f>SUM(R30:R34)</f>
        <v>35.784999999999997</v>
      </c>
    </row>
    <row r="37" spans="2:18" x14ac:dyDescent="0.3">
      <c r="O37" s="97"/>
    </row>
    <row r="38" spans="2:18" x14ac:dyDescent="0.3">
      <c r="O38" s="97"/>
    </row>
    <row r="39" spans="2:18" x14ac:dyDescent="0.3">
      <c r="O39" s="97"/>
    </row>
    <row r="40" spans="2:18" ht="36.6" x14ac:dyDescent="0.7">
      <c r="M40" s="464" t="s">
        <v>182</v>
      </c>
      <c r="N40" s="464"/>
      <c r="O40" s="464"/>
      <c r="P40" s="464" t="s">
        <v>183</v>
      </c>
      <c r="Q40" s="465"/>
    </row>
    <row r="41" spans="2:18" x14ac:dyDescent="0.3">
      <c r="O41" s="97"/>
    </row>
    <row r="42" spans="2:18" x14ac:dyDescent="0.3">
      <c r="O42" s="97"/>
    </row>
    <row r="43" spans="2:18" x14ac:dyDescent="0.3">
      <c r="O43" s="97"/>
    </row>
    <row r="44" spans="2:18" x14ac:dyDescent="0.3">
      <c r="O44" s="97"/>
    </row>
    <row r="45" spans="2:18" x14ac:dyDescent="0.3">
      <c r="O45" s="97"/>
    </row>
    <row r="46" spans="2:18" x14ac:dyDescent="0.3">
      <c r="O46" s="97"/>
    </row>
    <row r="47" spans="2:18" x14ac:dyDescent="0.3">
      <c r="O47" s="97"/>
    </row>
    <row r="48" spans="2:18" x14ac:dyDescent="0.3">
      <c r="O48" s="97"/>
    </row>
    <row r="49" spans="15:15" x14ac:dyDescent="0.3">
      <c r="O49" s="97"/>
    </row>
    <row r="50" spans="15:15" x14ac:dyDescent="0.3">
      <c r="O50" s="97"/>
    </row>
    <row r="51" spans="15:15" x14ac:dyDescent="0.3">
      <c r="O51" s="97"/>
    </row>
    <row r="52" spans="15:15" x14ac:dyDescent="0.3">
      <c r="O52" s="97"/>
    </row>
    <row r="53" spans="15:15" x14ac:dyDescent="0.3">
      <c r="O53" s="97"/>
    </row>
    <row r="54" spans="15:15" x14ac:dyDescent="0.3">
      <c r="O54" s="97"/>
    </row>
    <row r="55" spans="15:15" x14ac:dyDescent="0.3">
      <c r="O55" s="97"/>
    </row>
    <row r="56" spans="15:15" x14ac:dyDescent="0.3">
      <c r="O56" s="97"/>
    </row>
    <row r="57" spans="15:15" x14ac:dyDescent="0.3">
      <c r="O57" s="97"/>
    </row>
    <row r="58" spans="15:15" x14ac:dyDescent="0.3">
      <c r="O58" s="97"/>
    </row>
    <row r="59" spans="15:15" x14ac:dyDescent="0.3">
      <c r="O59" s="97"/>
    </row>
    <row r="60" spans="15:15" x14ac:dyDescent="0.3">
      <c r="O60" s="97"/>
    </row>
    <row r="61" spans="15:15" x14ac:dyDescent="0.3">
      <c r="O61" s="97"/>
    </row>
    <row r="62" spans="15:15" x14ac:dyDescent="0.3">
      <c r="O62" s="97"/>
    </row>
    <row r="63" spans="15:15" x14ac:dyDescent="0.3">
      <c r="O63" s="97"/>
    </row>
    <row r="64" spans="15:15" x14ac:dyDescent="0.3">
      <c r="O64" s="97"/>
    </row>
    <row r="65" spans="2:28" x14ac:dyDescent="0.3">
      <c r="O65" s="97"/>
    </row>
    <row r="66" spans="2:28" x14ac:dyDescent="0.3">
      <c r="O66" s="97"/>
    </row>
    <row r="67" spans="2:28" x14ac:dyDescent="0.3">
      <c r="O67" s="97"/>
    </row>
    <row r="68" spans="2:28" x14ac:dyDescent="0.3">
      <c r="O68" s="97"/>
    </row>
    <row r="69" spans="2:28" x14ac:dyDescent="0.3">
      <c r="O69" s="97"/>
    </row>
    <row r="70" spans="2:28" x14ac:dyDescent="0.3">
      <c r="O70" s="97"/>
    </row>
    <row r="71" spans="2:28" x14ac:dyDescent="0.3">
      <c r="O71" s="97"/>
    </row>
    <row r="72" spans="2:28" x14ac:dyDescent="0.3">
      <c r="O72" s="97"/>
    </row>
    <row r="73" spans="2:28" x14ac:dyDescent="0.3">
      <c r="O73" s="97"/>
    </row>
    <row r="74" spans="2:28" x14ac:dyDescent="0.3">
      <c r="O74" s="97"/>
    </row>
    <row r="75" spans="2:28" x14ac:dyDescent="0.3">
      <c r="O75" s="97"/>
    </row>
    <row r="76" spans="2:28" x14ac:dyDescent="0.3">
      <c r="O76" s="97"/>
    </row>
    <row r="77" spans="2:28" x14ac:dyDescent="0.3">
      <c r="O77" s="97"/>
    </row>
    <row r="78" spans="2:28" x14ac:dyDescent="0.3">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row>
  </sheetData>
  <hyperlinks>
    <hyperlink ref="B1" r:id="rId1"/>
    <hyperlink ref="Q19" r:id="rId2"/>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4"/>
  <sheetViews>
    <sheetView tabSelected="1" zoomScale="110" zoomScaleNormal="110" workbookViewId="0">
      <selection activeCell="F20" sqref="F20"/>
    </sheetView>
  </sheetViews>
  <sheetFormatPr baseColWidth="10" defaultRowHeight="14.4" x14ac:dyDescent="0.3"/>
  <cols>
    <col min="1" max="1" width="4.88671875" customWidth="1"/>
    <col min="2" max="2" width="20.44140625" customWidth="1"/>
    <col min="3" max="3" width="19.5546875" customWidth="1"/>
    <col min="4" max="4" width="10.109375" customWidth="1"/>
    <col min="5" max="5" width="15.6640625" customWidth="1"/>
    <col min="6" max="6" width="10.5546875" customWidth="1"/>
    <col min="7" max="7" width="9.44140625" customWidth="1"/>
    <col min="8" max="8" width="15.6640625" customWidth="1"/>
    <col min="9" max="9" width="9.88671875" customWidth="1"/>
    <col min="10" max="10" width="1" customWidth="1"/>
    <col min="11" max="11" width="11.109375" customWidth="1"/>
    <col min="12" max="12" width="7.5546875" customWidth="1"/>
    <col min="13" max="13" width="1" customWidth="1"/>
    <col min="14" max="14" width="10.88671875" customWidth="1"/>
    <col min="15" max="15" width="8" customWidth="1"/>
    <col min="16" max="16" width="6.77734375" customWidth="1"/>
  </cols>
  <sheetData>
    <row r="1" spans="1:16" ht="15.6" x14ac:dyDescent="0.3">
      <c r="A1" s="13"/>
      <c r="B1" s="89" t="s">
        <v>3</v>
      </c>
      <c r="C1" s="13"/>
      <c r="D1" s="13"/>
      <c r="E1" s="13"/>
      <c r="F1" s="13"/>
      <c r="G1" s="13"/>
      <c r="H1" s="13"/>
    </row>
    <row r="2" spans="1:16" ht="208.95" customHeight="1" x14ac:dyDescent="0.3"/>
    <row r="4" spans="1:16" ht="15" thickBot="1" x14ac:dyDescent="0.35">
      <c r="A4" s="329" t="s">
        <v>97</v>
      </c>
      <c r="B4" s="5"/>
      <c r="C4" s="5"/>
      <c r="D4" s="5"/>
      <c r="E4" s="5"/>
      <c r="F4" s="5"/>
      <c r="G4" s="5"/>
      <c r="H4" s="57"/>
      <c r="I4" s="57"/>
      <c r="J4" s="57"/>
      <c r="K4" s="57"/>
      <c r="L4" s="57"/>
      <c r="M4" s="57"/>
      <c r="N4" s="57"/>
      <c r="O4" s="57"/>
    </row>
    <row r="5" spans="1:16" ht="30.6" customHeight="1" thickTop="1" thickBot="1" x14ac:dyDescent="0.35">
      <c r="A5" s="5"/>
      <c r="B5" s="39" t="s">
        <v>83</v>
      </c>
      <c r="C5" s="493" t="s">
        <v>184</v>
      </c>
      <c r="D5" s="494"/>
      <c r="E5" s="15" t="s">
        <v>7</v>
      </c>
      <c r="F5" s="36"/>
      <c r="G5" s="5"/>
      <c r="H5" s="495"/>
      <c r="I5" s="496"/>
      <c r="J5" s="57"/>
      <c r="K5" s="179"/>
      <c r="L5" s="179"/>
      <c r="M5" s="57"/>
      <c r="N5" s="179"/>
      <c r="O5" s="179"/>
    </row>
    <row r="6" spans="1:16" x14ac:dyDescent="0.3">
      <c r="A6" s="5"/>
      <c r="B6" s="244"/>
      <c r="C6" s="243" t="s">
        <v>93</v>
      </c>
      <c r="D6" s="42" t="s">
        <v>40</v>
      </c>
      <c r="E6" s="14" t="s">
        <v>202</v>
      </c>
      <c r="F6" s="16" t="s">
        <v>39</v>
      </c>
      <c r="G6" s="5"/>
      <c r="H6" s="180"/>
      <c r="I6" s="58"/>
      <c r="J6" s="57"/>
      <c r="K6" s="177"/>
      <c r="L6" s="181"/>
      <c r="M6" s="57"/>
      <c r="N6" s="177"/>
      <c r="O6" s="182"/>
    </row>
    <row r="7" spans="1:16" ht="15.6" x14ac:dyDescent="0.3">
      <c r="A7" s="71">
        <v>1</v>
      </c>
      <c r="B7" s="11" t="s">
        <v>8</v>
      </c>
      <c r="C7" s="43">
        <v>16</v>
      </c>
      <c r="D7" s="44" t="s">
        <v>37</v>
      </c>
      <c r="E7" s="12">
        <v>-5810</v>
      </c>
      <c r="F7" s="37" t="s">
        <v>186</v>
      </c>
      <c r="G7" s="246">
        <v>1090</v>
      </c>
      <c r="H7" s="180"/>
      <c r="I7" s="58"/>
      <c r="J7" s="57"/>
      <c r="K7" s="177"/>
      <c r="L7" s="181"/>
      <c r="M7" s="57"/>
      <c r="N7" s="177"/>
      <c r="O7" s="181"/>
    </row>
    <row r="8" spans="1:16" ht="15.6" x14ac:dyDescent="0.3">
      <c r="A8" s="40">
        <v>2</v>
      </c>
      <c r="B8" s="11" t="s">
        <v>9</v>
      </c>
      <c r="C8" s="43">
        <v>8</v>
      </c>
      <c r="D8" s="45" t="s">
        <v>38</v>
      </c>
      <c r="E8" s="12">
        <f>-2905</f>
        <v>-2905</v>
      </c>
      <c r="F8" s="37" t="s">
        <v>187</v>
      </c>
      <c r="G8" s="150">
        <v>545</v>
      </c>
      <c r="H8" s="180"/>
      <c r="I8" s="58"/>
      <c r="J8" s="57"/>
      <c r="K8" s="177"/>
      <c r="L8" s="183"/>
      <c r="M8" s="57"/>
      <c r="N8" s="177"/>
      <c r="O8" s="183"/>
    </row>
    <row r="9" spans="1:16" ht="16.2" thickBot="1" x14ac:dyDescent="0.35">
      <c r="A9" s="72">
        <v>3</v>
      </c>
      <c r="B9" s="51" t="s">
        <v>10</v>
      </c>
      <c r="C9" s="52">
        <v>5.5</v>
      </c>
      <c r="D9" s="53" t="s">
        <v>38</v>
      </c>
      <c r="E9" s="54">
        <f>-1995</f>
        <v>-1995</v>
      </c>
      <c r="F9" s="55" t="s">
        <v>187</v>
      </c>
      <c r="G9" s="150">
        <v>545</v>
      </c>
      <c r="H9" s="176"/>
      <c r="I9" s="58"/>
      <c r="J9" s="57"/>
      <c r="K9" s="177"/>
      <c r="L9" s="178"/>
      <c r="M9" s="57"/>
      <c r="N9" s="177"/>
      <c r="O9" s="178"/>
      <c r="P9" s="9"/>
    </row>
    <row r="10" spans="1:16" ht="16.8" thickTop="1" thickBot="1" x14ac:dyDescent="0.35">
      <c r="A10" s="73">
        <v>4</v>
      </c>
      <c r="B10" s="47" t="s">
        <v>1</v>
      </c>
      <c r="C10" s="48">
        <f>C7+C8+C9</f>
        <v>29.5</v>
      </c>
      <c r="D10" s="49" t="s">
        <v>41</v>
      </c>
      <c r="E10" s="56">
        <f>E7+E8+E9</f>
        <v>-10710</v>
      </c>
      <c r="F10" s="50" t="s">
        <v>188</v>
      </c>
      <c r="G10" s="246">
        <f>G7+G8+G9</f>
        <v>2180</v>
      </c>
      <c r="H10">
        <f>6*372.7</f>
        <v>2236.1999999999998</v>
      </c>
    </row>
    <row r="11" spans="1:16" ht="16.2" thickTop="1" x14ac:dyDescent="0.3">
      <c r="A11" s="38"/>
      <c r="B11" s="5"/>
      <c r="C11" s="5"/>
      <c r="D11" s="5"/>
      <c r="E11" s="5"/>
      <c r="F11" s="5"/>
      <c r="G11" s="5"/>
    </row>
    <row r="12" spans="1:16" ht="15.6" x14ac:dyDescent="0.3">
      <c r="A12" s="72" t="s">
        <v>32</v>
      </c>
      <c r="B12" s="59" t="s">
        <v>34</v>
      </c>
      <c r="C12" s="60">
        <f>-E12/363</f>
        <v>-5.6198347107438016</v>
      </c>
      <c r="D12" s="61" t="s">
        <v>204</v>
      </c>
      <c r="E12" s="62">
        <v>2040</v>
      </c>
      <c r="F12" s="63" t="s">
        <v>91</v>
      </c>
      <c r="G12" s="247">
        <f>1000/372.7</f>
        <v>2.6831231553528307</v>
      </c>
    </row>
    <row r="13" spans="1:16" ht="15.6" x14ac:dyDescent="0.3">
      <c r="A13" s="74" t="s">
        <v>35</v>
      </c>
      <c r="B13" s="64" t="s">
        <v>33</v>
      </c>
      <c r="C13" s="65">
        <v>18.399999999999999</v>
      </c>
      <c r="D13" s="248" t="s">
        <v>203</v>
      </c>
      <c r="E13" s="66">
        <f>E10-E9+E12</f>
        <v>-6675</v>
      </c>
      <c r="F13" s="245" t="s">
        <v>201</v>
      </c>
      <c r="G13" s="247">
        <f>3236/372.7</f>
        <v>8.6825865307217605</v>
      </c>
      <c r="H13">
        <f>1090+545+545</f>
        <v>2180</v>
      </c>
    </row>
    <row r="14" spans="1:16" ht="18.600000000000001" customHeight="1" x14ac:dyDescent="0.3">
      <c r="A14" s="489" t="s">
        <v>135</v>
      </c>
      <c r="B14" s="17"/>
      <c r="D14" s="5"/>
      <c r="E14" s="485"/>
      <c r="F14" s="5"/>
      <c r="G14" s="5"/>
      <c r="H14">
        <f>H13-545+980</f>
        <v>2615</v>
      </c>
    </row>
    <row r="15" spans="1:16" x14ac:dyDescent="0.3">
      <c r="C15" s="484"/>
      <c r="F15" s="7"/>
      <c r="G15" s="7">
        <f>G10-G9+1000</f>
        <v>2635</v>
      </c>
    </row>
    <row r="16" spans="1:16" ht="15" thickBot="1" x14ac:dyDescent="0.35">
      <c r="G16" s="5"/>
      <c r="H16" s="5"/>
      <c r="I16" s="5"/>
      <c r="J16" s="5"/>
      <c r="K16" s="5"/>
      <c r="L16" s="5"/>
      <c r="M16" s="5"/>
      <c r="N16" s="5"/>
      <c r="O16" s="5"/>
      <c r="P16" s="5"/>
    </row>
    <row r="17" spans="1:17" ht="15" thickBot="1" x14ac:dyDescent="0.35">
      <c r="B17" s="235"/>
      <c r="C17" s="235"/>
      <c r="D17" s="235"/>
      <c r="G17" s="5"/>
      <c r="H17" s="189" t="s">
        <v>78</v>
      </c>
      <c r="I17" s="190"/>
      <c r="J17" s="191"/>
      <c r="K17" s="192" t="s">
        <v>198</v>
      </c>
      <c r="L17" s="193"/>
      <c r="M17" s="191"/>
      <c r="N17" s="194" t="s">
        <v>197</v>
      </c>
      <c r="O17" s="195"/>
      <c r="P17" s="5"/>
    </row>
    <row r="18" spans="1:17" ht="32.4" x14ac:dyDescent="0.3">
      <c r="B18" s="234" t="s">
        <v>88</v>
      </c>
      <c r="C18" s="234">
        <v>1090</v>
      </c>
      <c r="D18" s="234"/>
      <c r="G18" s="5"/>
      <c r="H18" s="497" t="s">
        <v>99</v>
      </c>
      <c r="I18" s="498"/>
      <c r="J18" s="5"/>
      <c r="K18" s="472" t="s">
        <v>199</v>
      </c>
      <c r="L18" s="296" t="s">
        <v>2</v>
      </c>
      <c r="M18" s="5"/>
      <c r="N18" s="473" t="s">
        <v>196</v>
      </c>
      <c r="O18" s="297" t="s">
        <v>2</v>
      </c>
      <c r="P18" s="5"/>
    </row>
    <row r="19" spans="1:17" x14ac:dyDescent="0.3">
      <c r="B19" s="234" t="s">
        <v>90</v>
      </c>
      <c r="C19" s="234">
        <f>77964/2</f>
        <v>38982</v>
      </c>
      <c r="D19" s="234"/>
      <c r="F19" s="13"/>
      <c r="G19" s="17">
        <v>1</v>
      </c>
      <c r="H19" s="184" t="s">
        <v>4</v>
      </c>
      <c r="I19" s="10">
        <v>410</v>
      </c>
      <c r="J19" s="5"/>
      <c r="K19" s="186">
        <v>16</v>
      </c>
      <c r="L19" s="474">
        <f>K19/I19</f>
        <v>3.9024390243902439E-2</v>
      </c>
      <c r="M19" s="5"/>
      <c r="N19" s="187" t="s">
        <v>103</v>
      </c>
      <c r="O19" s="476">
        <v>7.3170731707317077E-3</v>
      </c>
      <c r="P19" s="5"/>
    </row>
    <row r="20" spans="1:17" x14ac:dyDescent="0.3">
      <c r="B20" s="236" t="s">
        <v>89</v>
      </c>
      <c r="C20" s="237">
        <f>C18/C19</f>
        <v>2.7961623313324097E-2</v>
      </c>
      <c r="D20" s="238">
        <f>1/C20</f>
        <v>35.763302752293576</v>
      </c>
      <c r="F20" s="13"/>
      <c r="G20" s="17">
        <v>2</v>
      </c>
      <c r="H20" s="184" t="s">
        <v>0</v>
      </c>
      <c r="I20" s="10">
        <v>7360</v>
      </c>
      <c r="J20" s="5"/>
      <c r="K20" s="186">
        <v>8</v>
      </c>
      <c r="L20" s="474">
        <f>K20/I20</f>
        <v>1.0869565217391304E-3</v>
      </c>
      <c r="M20" s="5"/>
      <c r="N20" s="187" t="s">
        <v>105</v>
      </c>
      <c r="O20" s="477">
        <v>2.0380434782608695E-4</v>
      </c>
      <c r="P20" s="5"/>
    </row>
    <row r="21" spans="1:17" ht="15" thickBot="1" x14ac:dyDescent="0.35">
      <c r="B21" s="235"/>
      <c r="C21" s="235"/>
      <c r="D21" s="235"/>
      <c r="F21" s="85"/>
      <c r="G21" s="300">
        <v>3</v>
      </c>
      <c r="H21" s="206" t="s">
        <v>5</v>
      </c>
      <c r="I21" s="207">
        <v>58300</v>
      </c>
      <c r="J21" s="208"/>
      <c r="K21" s="209">
        <v>5.5</v>
      </c>
      <c r="L21" s="475">
        <f>K21/I21</f>
        <v>9.4339622641509429E-5</v>
      </c>
      <c r="M21" s="208"/>
      <c r="N21" s="210" t="s">
        <v>106</v>
      </c>
      <c r="O21" s="478">
        <v>2.5728987993138936E-5</v>
      </c>
      <c r="P21" s="5"/>
    </row>
    <row r="22" spans="1:17" ht="8.4" customHeight="1" thickBot="1" x14ac:dyDescent="0.35">
      <c r="F22" s="13"/>
      <c r="G22" s="17"/>
      <c r="H22" s="17"/>
      <c r="I22" s="17"/>
      <c r="J22" s="17"/>
      <c r="K22" s="17"/>
      <c r="L22" s="17"/>
      <c r="M22" s="17"/>
      <c r="N22" s="17"/>
      <c r="O22" s="17"/>
      <c r="P22" s="17"/>
      <c r="Q22" s="17"/>
    </row>
    <row r="23" spans="1:17" ht="15.6" thickTop="1" thickBot="1" x14ac:dyDescent="0.35">
      <c r="F23" s="13"/>
      <c r="G23" s="299">
        <v>4</v>
      </c>
      <c r="H23" s="211" t="s">
        <v>82</v>
      </c>
      <c r="I23" s="214">
        <v>66200</v>
      </c>
      <c r="J23" s="212"/>
      <c r="K23" s="215">
        <v>29.5</v>
      </c>
      <c r="L23" s="295">
        <f>K23/I23</f>
        <v>4.4561933534743202E-4</v>
      </c>
      <c r="M23" s="212"/>
      <c r="N23" s="216" t="s">
        <v>107</v>
      </c>
      <c r="O23" s="213">
        <f>6/I23</f>
        <v>9.0634441087613293E-5</v>
      </c>
      <c r="P23" s="5"/>
    </row>
    <row r="24" spans="1:17" ht="10.199999999999999" customHeight="1" thickTop="1" thickBot="1" x14ac:dyDescent="0.35">
      <c r="G24" s="5"/>
      <c r="H24" s="5"/>
      <c r="I24" s="5"/>
      <c r="J24" s="5"/>
      <c r="K24" s="5"/>
      <c r="L24" s="5"/>
      <c r="M24" s="5"/>
      <c r="N24" s="5"/>
      <c r="O24" s="5"/>
      <c r="P24" s="5"/>
    </row>
    <row r="25" spans="1:17" ht="21.6" customHeight="1" thickBot="1" x14ac:dyDescent="0.35">
      <c r="A25" s="294" t="s">
        <v>98</v>
      </c>
      <c r="G25" s="5"/>
      <c r="H25" s="499" t="s">
        <v>79</v>
      </c>
      <c r="I25" s="197">
        <v>1700</v>
      </c>
      <c r="J25" s="188"/>
      <c r="K25" s="199">
        <f>K19+K20+K21</f>
        <v>29.5</v>
      </c>
      <c r="L25" s="200" t="s">
        <v>81</v>
      </c>
      <c r="M25" s="188"/>
      <c r="N25" s="199" t="s">
        <v>104</v>
      </c>
      <c r="O25" s="200" t="s">
        <v>80</v>
      </c>
      <c r="P25" s="5"/>
    </row>
    <row r="26" spans="1:17" ht="26.4" customHeight="1" thickTop="1" thickBot="1" x14ac:dyDescent="0.35">
      <c r="A26" s="5"/>
      <c r="B26" s="39" t="s">
        <v>83</v>
      </c>
      <c r="C26" s="501" t="s">
        <v>189</v>
      </c>
      <c r="D26" s="494"/>
      <c r="E26" s="15" t="s">
        <v>7</v>
      </c>
      <c r="F26" s="36"/>
      <c r="G26" s="5"/>
      <c r="H26" s="500"/>
      <c r="I26" s="198">
        <v>1</v>
      </c>
      <c r="J26" s="196"/>
      <c r="K26" s="201">
        <f>K25/I25</f>
        <v>1.7352941176470588E-2</v>
      </c>
      <c r="L26" s="202"/>
      <c r="M26" s="196"/>
      <c r="N26" s="201">
        <v>3.5294117647058825E-3</v>
      </c>
      <c r="O26" s="203"/>
      <c r="P26" s="5"/>
    </row>
    <row r="27" spans="1:17" x14ac:dyDescent="0.3">
      <c r="A27" s="5"/>
      <c r="B27" s="8"/>
      <c r="C27" s="41" t="s">
        <v>6</v>
      </c>
      <c r="D27" s="42" t="s">
        <v>40</v>
      </c>
      <c r="E27" s="14" t="s">
        <v>17</v>
      </c>
      <c r="F27" s="16" t="s">
        <v>39</v>
      </c>
      <c r="L27" s="185"/>
      <c r="O27" s="185"/>
    </row>
    <row r="28" spans="1:17" ht="15.6" x14ac:dyDescent="0.3">
      <c r="A28" s="71">
        <v>1</v>
      </c>
      <c r="B28" s="11" t="s">
        <v>8</v>
      </c>
      <c r="C28" s="43">
        <v>16</v>
      </c>
      <c r="D28" s="44">
        <v>3</v>
      </c>
      <c r="E28" s="12">
        <f>C28*B37</f>
        <v>-5808</v>
      </c>
      <c r="F28" s="37">
        <f>D28*B37</f>
        <v>-1089</v>
      </c>
    </row>
    <row r="29" spans="1:17" ht="15.6" x14ac:dyDescent="0.3">
      <c r="A29" s="40">
        <v>2</v>
      </c>
      <c r="B29" s="11" t="s">
        <v>9</v>
      </c>
      <c r="C29" s="43">
        <v>8</v>
      </c>
      <c r="D29" s="45">
        <v>1.5</v>
      </c>
      <c r="E29" s="12">
        <f>C29*B37</f>
        <v>-2904</v>
      </c>
      <c r="F29" s="37">
        <f>D29*B37</f>
        <v>-544.5</v>
      </c>
    </row>
    <row r="30" spans="1:17" ht="16.2" thickBot="1" x14ac:dyDescent="0.35">
      <c r="A30" s="72">
        <v>3</v>
      </c>
      <c r="B30" s="51" t="s">
        <v>10</v>
      </c>
      <c r="C30" s="52">
        <v>5.5</v>
      </c>
      <c r="D30" s="53">
        <v>1.5</v>
      </c>
      <c r="E30" s="54">
        <f>C30*B37</f>
        <v>-1996.5</v>
      </c>
      <c r="F30" s="55">
        <f>D30*B37</f>
        <v>-544.5</v>
      </c>
    </row>
    <row r="31" spans="1:17" ht="16.8" thickTop="1" thickBot="1" x14ac:dyDescent="0.35">
      <c r="A31" s="73">
        <v>4</v>
      </c>
      <c r="B31" s="47" t="s">
        <v>1</v>
      </c>
      <c r="C31" s="48">
        <f>C28+C29+C30</f>
        <v>29.5</v>
      </c>
      <c r="D31" s="49">
        <v>6</v>
      </c>
      <c r="E31" s="56">
        <f>E28+E29+E30</f>
        <v>-10708.5</v>
      </c>
      <c r="F31" s="50">
        <f>F28+F29+F30</f>
        <v>-2178</v>
      </c>
    </row>
    <row r="32" spans="1:17" ht="16.2" thickTop="1" x14ac:dyDescent="0.3">
      <c r="A32" s="38"/>
      <c r="B32" s="5"/>
      <c r="C32" s="5"/>
      <c r="D32" s="5"/>
      <c r="E32" s="5"/>
      <c r="F32" s="5"/>
    </row>
    <row r="33" spans="1:6" ht="15.6" x14ac:dyDescent="0.3">
      <c r="A33" s="72" t="s">
        <v>32</v>
      </c>
      <c r="B33" s="59" t="s">
        <v>34</v>
      </c>
      <c r="C33" s="60">
        <f>E33/B37</f>
        <v>-5.6198347107438016</v>
      </c>
      <c r="D33" s="240">
        <f>F33/B37</f>
        <v>-2.6997245179063363</v>
      </c>
      <c r="E33" s="62">
        <v>2040</v>
      </c>
      <c r="F33" s="63">
        <v>980</v>
      </c>
    </row>
    <row r="34" spans="1:6" ht="15.6" x14ac:dyDescent="0.3">
      <c r="A34" s="74" t="s">
        <v>35</v>
      </c>
      <c r="B34" s="64" t="s">
        <v>33</v>
      </c>
      <c r="C34" s="65">
        <f>C28+C29+C33</f>
        <v>18.380165289256198</v>
      </c>
      <c r="D34" s="241">
        <f>D28+D29-D33</f>
        <v>7.1997245179063363</v>
      </c>
      <c r="E34" s="66">
        <f>E31-E30+E33</f>
        <v>-6672</v>
      </c>
      <c r="F34" s="67">
        <f>F28+F29-F33</f>
        <v>-2613.5</v>
      </c>
    </row>
    <row r="35" spans="1:6" x14ac:dyDescent="0.3">
      <c r="C35" s="257">
        <f>E33/B37</f>
        <v>-5.6198347107438016</v>
      </c>
      <c r="D35" s="4">
        <f>F33/B37</f>
        <v>-2.6997245179063363</v>
      </c>
    </row>
    <row r="36" spans="1:6" x14ac:dyDescent="0.3">
      <c r="B36" t="s">
        <v>185</v>
      </c>
    </row>
    <row r="37" spans="1:6" x14ac:dyDescent="0.3">
      <c r="B37">
        <v>-363</v>
      </c>
    </row>
    <row r="44" spans="1:6" x14ac:dyDescent="0.3">
      <c r="E44" s="239"/>
    </row>
  </sheetData>
  <mergeCells count="5">
    <mergeCell ref="C5:D5"/>
    <mergeCell ref="H5:I5"/>
    <mergeCell ref="H18:I18"/>
    <mergeCell ref="H25:H26"/>
    <mergeCell ref="C26:D26"/>
  </mergeCells>
  <hyperlinks>
    <hyperlink ref="B1" r:id="rId1"/>
  </hyperlinks>
  <pageMargins left="0.25" right="0.25" top="0.75" bottom="0.75" header="0.3" footer="0.3"/>
  <pageSetup paperSize="9" orientation="landscape"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62"/>
  <sheetViews>
    <sheetView zoomScale="90" zoomScaleNormal="90" workbookViewId="0">
      <selection activeCell="C9" sqref="C9"/>
    </sheetView>
  </sheetViews>
  <sheetFormatPr baseColWidth="10" defaultRowHeight="14.4" x14ac:dyDescent="0.3"/>
  <cols>
    <col min="1" max="1" width="4.77734375" style="13" customWidth="1"/>
    <col min="2" max="2" width="19.44140625" customWidth="1"/>
    <col min="3" max="3" width="18.109375" customWidth="1"/>
    <col min="4" max="4" width="14.33203125" customWidth="1"/>
    <col min="5" max="5" width="17.109375" customWidth="1"/>
    <col min="8" max="8" width="8.5546875" customWidth="1"/>
    <col min="9" max="9" width="20.33203125" customWidth="1"/>
    <col min="10" max="10" width="10.109375" customWidth="1"/>
    <col min="11" max="11" width="8.44140625" customWidth="1"/>
    <col min="12" max="12" width="1.33203125" customWidth="1"/>
    <col min="13" max="13" width="1.21875" customWidth="1"/>
    <col min="14" max="14" width="4.6640625" customWidth="1"/>
    <col min="15" max="15" width="24.6640625" customWidth="1"/>
    <col min="16" max="16" width="14.33203125" customWidth="1"/>
    <col min="17" max="17" width="11.77734375" customWidth="1"/>
    <col min="18" max="18" width="15.88671875" customWidth="1"/>
    <col min="19" max="19" width="1" customWidth="1"/>
    <col min="20" max="20" width="15.6640625" customWidth="1"/>
    <col min="21" max="21" width="3.33203125" customWidth="1"/>
    <col min="22" max="22" width="8.109375" customWidth="1"/>
  </cols>
  <sheetData>
    <row r="1" spans="1:33" ht="22.8" x14ac:dyDescent="0.4">
      <c r="A1" s="290" t="s">
        <v>44</v>
      </c>
      <c r="E1" s="292"/>
      <c r="O1" s="86"/>
      <c r="P1" s="87"/>
      <c r="Q1" s="86"/>
    </row>
    <row r="3" spans="1:33" x14ac:dyDescent="0.3">
      <c r="B3" s="144" t="s">
        <v>70</v>
      </c>
      <c r="C3" s="144" t="s">
        <v>14</v>
      </c>
      <c r="D3" s="291" t="s">
        <v>36</v>
      </c>
    </row>
    <row r="4" spans="1:33" x14ac:dyDescent="0.3">
      <c r="B4" s="144" t="s">
        <v>71</v>
      </c>
      <c r="C4" s="144">
        <v>112</v>
      </c>
      <c r="D4" s="144">
        <v>61</v>
      </c>
    </row>
    <row r="5" spans="1:33" x14ac:dyDescent="0.3">
      <c r="B5" s="144" t="s">
        <v>11</v>
      </c>
      <c r="C5" s="144">
        <v>82</v>
      </c>
      <c r="D5" s="144">
        <v>25</v>
      </c>
    </row>
    <row r="6" spans="1:33" x14ac:dyDescent="0.3">
      <c r="B6" s="144" t="s">
        <v>12</v>
      </c>
      <c r="C6" s="144">
        <f>(C4*10+C5*5)/15</f>
        <v>102</v>
      </c>
      <c r="D6" s="144">
        <f>(D4*10+D5*5)/15</f>
        <v>49</v>
      </c>
      <c r="O6" s="258"/>
      <c r="P6" s="258"/>
      <c r="Q6" s="258"/>
      <c r="R6" s="258"/>
      <c r="S6" s="258"/>
      <c r="T6" s="258"/>
      <c r="U6" s="258"/>
      <c r="V6" s="258"/>
      <c r="W6" s="258"/>
      <c r="X6" s="258"/>
      <c r="Y6" s="258"/>
      <c r="Z6" s="258"/>
      <c r="AA6" s="258"/>
      <c r="AB6" s="258"/>
      <c r="AC6" s="258"/>
      <c r="AD6" s="258"/>
      <c r="AE6" s="258"/>
      <c r="AF6" s="258"/>
      <c r="AG6" s="258"/>
    </row>
    <row r="7" spans="1:33" ht="6.6" customHeight="1" x14ac:dyDescent="0.3">
      <c r="O7" s="258"/>
      <c r="P7" s="258"/>
      <c r="Q7" s="258"/>
      <c r="R7" s="258"/>
      <c r="S7" s="258"/>
      <c r="T7" s="258"/>
      <c r="U7" s="258"/>
      <c r="V7" s="258"/>
      <c r="W7" s="258"/>
      <c r="X7" s="258"/>
      <c r="Y7" s="258"/>
      <c r="Z7" s="258"/>
      <c r="AA7" s="258"/>
      <c r="AB7" s="258"/>
      <c r="AC7" s="258"/>
      <c r="AD7" s="258"/>
      <c r="AE7" s="258"/>
      <c r="AF7" s="258"/>
      <c r="AG7" s="258"/>
    </row>
    <row r="8" spans="1:33" ht="18" x14ac:dyDescent="0.35">
      <c r="B8" s="293" t="s">
        <v>13</v>
      </c>
      <c r="C8" s="293">
        <f>C6*20</f>
        <v>2040</v>
      </c>
      <c r="D8" s="293">
        <f>D6*20</f>
        <v>980</v>
      </c>
      <c r="O8" s="258"/>
      <c r="P8" s="258"/>
      <c r="Q8" s="258"/>
      <c r="R8" s="258"/>
      <c r="S8" s="258"/>
      <c r="T8" s="258"/>
      <c r="U8" s="258"/>
      <c r="V8" s="258"/>
      <c r="W8" s="258"/>
      <c r="X8" s="258"/>
      <c r="Y8" s="258"/>
      <c r="Z8" s="258"/>
      <c r="AA8" s="258"/>
      <c r="AB8" s="258"/>
      <c r="AC8" s="258"/>
      <c r="AD8" s="258"/>
      <c r="AE8" s="258"/>
      <c r="AF8" s="258"/>
      <c r="AG8" s="258"/>
    </row>
    <row r="9" spans="1:33" x14ac:dyDescent="0.3">
      <c r="O9" s="258"/>
      <c r="P9" s="258"/>
      <c r="Q9" s="258"/>
      <c r="R9" s="258"/>
      <c r="S9" s="258"/>
      <c r="T9" s="258"/>
      <c r="U9" s="258"/>
      <c r="V9" s="258"/>
      <c r="W9" s="258"/>
      <c r="X9" s="258"/>
      <c r="Y9" s="258"/>
      <c r="Z9" s="258"/>
      <c r="AA9" s="258"/>
      <c r="AB9" s="258"/>
      <c r="AC9" s="258"/>
      <c r="AD9" s="258"/>
      <c r="AE9" s="258"/>
      <c r="AF9" s="258"/>
      <c r="AG9" s="258"/>
    </row>
    <row r="10" spans="1:33" x14ac:dyDescent="0.3">
      <c r="O10" s="258"/>
      <c r="P10" s="258"/>
      <c r="Q10" s="258"/>
      <c r="R10" s="258"/>
      <c r="S10" s="258"/>
      <c r="T10" s="258"/>
      <c r="U10" s="258"/>
      <c r="V10" s="258"/>
      <c r="W10" s="258"/>
      <c r="X10" s="258"/>
      <c r="Y10" s="258"/>
      <c r="Z10" s="258"/>
      <c r="AA10" s="258"/>
      <c r="AB10" s="258"/>
      <c r="AC10" s="258"/>
      <c r="AD10" s="258"/>
      <c r="AE10" s="258"/>
      <c r="AF10" s="258"/>
      <c r="AG10" s="258"/>
    </row>
    <row r="11" spans="1:33" x14ac:dyDescent="0.3">
      <c r="O11" s="258"/>
      <c r="P11" s="258"/>
      <c r="Q11" s="258"/>
      <c r="R11" s="258"/>
      <c r="S11" s="258"/>
      <c r="T11" s="258"/>
      <c r="U11" s="258"/>
      <c r="V11" s="258"/>
      <c r="W11" s="258"/>
      <c r="X11" s="258"/>
      <c r="Y11" s="258"/>
      <c r="Z11" s="258"/>
      <c r="AA11" s="258"/>
      <c r="AB11" s="258"/>
      <c r="AC11" s="258"/>
      <c r="AD11" s="258"/>
      <c r="AE11" s="258"/>
      <c r="AF11" s="258"/>
      <c r="AG11" s="258"/>
    </row>
    <row r="12" spans="1:33" x14ac:dyDescent="0.3">
      <c r="O12" s="258"/>
      <c r="P12" s="258"/>
      <c r="Q12" s="258"/>
      <c r="R12" s="258"/>
      <c r="S12" s="258"/>
      <c r="T12" s="258"/>
      <c r="U12" s="258"/>
      <c r="V12" s="258"/>
      <c r="W12" s="258"/>
      <c r="X12" s="258"/>
      <c r="Y12" s="258"/>
      <c r="Z12" s="258"/>
      <c r="AA12" s="258"/>
      <c r="AB12" s="258"/>
      <c r="AC12" s="258"/>
      <c r="AD12" s="258"/>
      <c r="AE12" s="258"/>
      <c r="AF12" s="258"/>
      <c r="AG12" s="258"/>
    </row>
    <row r="13" spans="1:33" x14ac:dyDescent="0.3">
      <c r="O13" s="258"/>
      <c r="P13" s="258"/>
      <c r="Q13" s="258"/>
      <c r="R13" s="258"/>
      <c r="S13" s="258"/>
      <c r="T13" s="258"/>
      <c r="U13" s="258"/>
      <c r="V13" s="258"/>
      <c r="W13" s="258"/>
      <c r="X13" s="258"/>
      <c r="Y13" s="258"/>
      <c r="Z13" s="258"/>
      <c r="AA13" s="258"/>
      <c r="AB13" s="258"/>
      <c r="AC13" s="258"/>
      <c r="AD13" s="258"/>
      <c r="AE13" s="258"/>
      <c r="AF13" s="258"/>
      <c r="AG13" s="258"/>
    </row>
    <row r="14" spans="1:33" x14ac:dyDescent="0.3">
      <c r="I14" s="13"/>
      <c r="J14" s="13"/>
      <c r="K14" s="13"/>
      <c r="L14" s="13"/>
      <c r="N14" s="13"/>
      <c r="O14" s="258"/>
      <c r="P14" s="258"/>
      <c r="Q14" s="258"/>
      <c r="R14" s="258"/>
      <c r="S14" s="258"/>
      <c r="T14" s="258"/>
      <c r="U14" s="258"/>
      <c r="V14" s="258"/>
      <c r="W14" s="258"/>
      <c r="X14" s="258"/>
      <c r="Y14" s="258"/>
      <c r="Z14" s="258"/>
      <c r="AA14" s="258"/>
      <c r="AB14" s="258"/>
      <c r="AC14" s="258"/>
      <c r="AD14" s="258"/>
      <c r="AE14" s="258"/>
      <c r="AF14" s="258"/>
      <c r="AG14" s="258"/>
    </row>
    <row r="15" spans="1:33" x14ac:dyDescent="0.3">
      <c r="H15" s="57"/>
      <c r="I15" s="57"/>
      <c r="J15" s="57"/>
      <c r="K15" s="57"/>
      <c r="L15" s="57"/>
      <c r="N15" s="57"/>
      <c r="O15" s="258"/>
      <c r="P15" s="258"/>
      <c r="Q15" s="258"/>
      <c r="R15" s="258"/>
      <c r="S15" s="258"/>
      <c r="T15" s="258"/>
      <c r="U15" s="258"/>
      <c r="V15" s="258"/>
      <c r="W15" s="258"/>
      <c r="X15" s="258"/>
      <c r="Y15" s="258"/>
      <c r="Z15" s="258"/>
      <c r="AA15" s="258"/>
      <c r="AB15" s="258"/>
      <c r="AC15" s="258"/>
      <c r="AD15" s="258"/>
      <c r="AE15" s="258"/>
      <c r="AF15" s="258"/>
      <c r="AG15" s="258"/>
    </row>
    <row r="16" spans="1:33" ht="28.95" customHeight="1" x14ac:dyDescent="0.3">
      <c r="H16" s="68"/>
      <c r="I16" s="69"/>
      <c r="J16" s="76"/>
      <c r="K16" s="76"/>
      <c r="L16" s="68"/>
      <c r="N16" s="68"/>
      <c r="O16" s="259"/>
      <c r="P16" s="259"/>
      <c r="Q16" s="258"/>
      <c r="R16" s="258"/>
      <c r="S16" s="258"/>
      <c r="T16" s="258"/>
      <c r="U16" s="258"/>
      <c r="V16" s="258"/>
      <c r="W16" s="258"/>
      <c r="X16" s="258"/>
      <c r="Y16" s="258"/>
      <c r="Z16" s="258"/>
      <c r="AA16" s="258"/>
      <c r="AB16" s="258"/>
      <c r="AC16" s="258"/>
      <c r="AD16" s="258"/>
      <c r="AE16" s="258"/>
      <c r="AF16" s="258"/>
      <c r="AG16" s="258"/>
    </row>
    <row r="17" spans="1:33" x14ac:dyDescent="0.3">
      <c r="H17" s="68"/>
      <c r="I17" s="58"/>
      <c r="J17" s="58"/>
      <c r="K17" s="58"/>
      <c r="L17" s="68"/>
      <c r="N17" s="68"/>
      <c r="O17" s="502"/>
      <c r="P17" s="504"/>
      <c r="Q17" s="258"/>
      <c r="R17" s="258"/>
      <c r="S17" s="258"/>
      <c r="T17" s="258"/>
      <c r="U17" s="258"/>
      <c r="V17" s="258"/>
      <c r="W17" s="258"/>
      <c r="X17" s="258"/>
      <c r="Y17" s="258"/>
      <c r="Z17" s="258"/>
      <c r="AA17" s="258"/>
      <c r="AB17" s="258"/>
      <c r="AC17" s="258"/>
      <c r="AD17" s="258"/>
      <c r="AE17" s="258"/>
      <c r="AF17" s="258"/>
      <c r="AG17" s="258"/>
    </row>
    <row r="18" spans="1:33" x14ac:dyDescent="0.3">
      <c r="H18" s="68"/>
      <c r="I18" s="58"/>
      <c r="J18" s="58"/>
      <c r="K18" s="58"/>
      <c r="L18" s="68"/>
      <c r="N18" s="68"/>
      <c r="O18" s="503"/>
      <c r="P18" s="505"/>
      <c r="Q18" s="258"/>
      <c r="R18" s="258"/>
      <c r="S18" s="258"/>
      <c r="T18" s="258"/>
      <c r="U18" s="258"/>
      <c r="V18" s="258"/>
      <c r="W18" s="258"/>
      <c r="X18" s="258"/>
      <c r="Y18" s="258"/>
      <c r="Z18" s="258"/>
      <c r="AA18" s="258"/>
      <c r="AB18" s="258"/>
      <c r="AC18" s="258"/>
      <c r="AD18" s="258"/>
      <c r="AE18" s="258"/>
      <c r="AF18" s="258"/>
      <c r="AG18" s="258"/>
    </row>
    <row r="19" spans="1:33" ht="15.6" x14ac:dyDescent="0.3">
      <c r="H19" s="77"/>
      <c r="I19" s="70"/>
      <c r="J19" s="70"/>
      <c r="K19" s="70"/>
      <c r="L19" s="78"/>
      <c r="N19" s="68"/>
      <c r="O19" s="260"/>
      <c r="P19" s="261"/>
      <c r="Q19" s="258"/>
      <c r="R19" s="258"/>
      <c r="S19" s="258"/>
      <c r="T19" s="258"/>
      <c r="U19" s="258"/>
      <c r="V19" s="258"/>
      <c r="W19" s="258"/>
      <c r="X19" s="258"/>
      <c r="Y19" s="258"/>
      <c r="Z19" s="258"/>
      <c r="AA19" s="258"/>
      <c r="AB19" s="258"/>
      <c r="AC19" s="258"/>
      <c r="AD19" s="258"/>
      <c r="AE19" s="258"/>
      <c r="AF19" s="258"/>
      <c r="AG19" s="258"/>
    </row>
    <row r="20" spans="1:33" ht="18.600000000000001" customHeight="1" x14ac:dyDescent="0.3">
      <c r="A20" s="84"/>
      <c r="H20" s="79"/>
      <c r="I20" s="68"/>
      <c r="J20" s="68"/>
      <c r="K20" s="68"/>
      <c r="L20" s="68"/>
      <c r="N20" s="68"/>
      <c r="O20" s="262"/>
      <c r="P20" s="262"/>
      <c r="Q20" s="258"/>
      <c r="R20" s="258"/>
      <c r="S20" s="258"/>
      <c r="T20" s="258"/>
      <c r="U20" s="258"/>
      <c r="V20" s="258"/>
      <c r="W20" s="258"/>
      <c r="X20" s="258"/>
      <c r="Y20" s="258"/>
      <c r="Z20" s="258"/>
      <c r="AA20" s="258"/>
      <c r="AB20" s="258"/>
      <c r="AC20" s="258"/>
      <c r="AD20" s="258"/>
      <c r="AE20" s="258"/>
      <c r="AF20" s="258"/>
      <c r="AG20" s="258"/>
    </row>
    <row r="21" spans="1:33" ht="18.600000000000001" customHeight="1" x14ac:dyDescent="0.3">
      <c r="A21" s="85"/>
      <c r="H21" s="79"/>
      <c r="I21" s="68"/>
      <c r="J21" s="68"/>
      <c r="K21" s="68"/>
      <c r="L21" s="68"/>
      <c r="N21" s="68"/>
      <c r="O21" s="262"/>
      <c r="P21" s="262"/>
      <c r="Q21" s="258"/>
      <c r="R21" s="258"/>
      <c r="S21" s="258"/>
      <c r="T21" s="258"/>
      <c r="U21" s="258"/>
      <c r="V21" s="258"/>
      <c r="W21" s="258"/>
      <c r="X21" s="258"/>
      <c r="Y21" s="258"/>
      <c r="Z21" s="258"/>
      <c r="AA21" s="258"/>
      <c r="AB21" s="258"/>
      <c r="AC21" s="258"/>
      <c r="AD21" s="258"/>
      <c r="AE21" s="258"/>
      <c r="AF21" s="258"/>
      <c r="AG21" s="258"/>
    </row>
    <row r="22" spans="1:33" ht="15.6" x14ac:dyDescent="0.3">
      <c r="H22" s="77"/>
      <c r="I22" s="80"/>
      <c r="J22" s="69"/>
      <c r="K22" s="81"/>
      <c r="L22" s="68"/>
      <c r="N22" s="68"/>
      <c r="O22" s="260"/>
      <c r="P22" s="261"/>
      <c r="Q22" s="258"/>
      <c r="R22" s="258"/>
      <c r="S22" s="258"/>
      <c r="T22" s="258"/>
      <c r="U22" s="258"/>
      <c r="V22" s="258"/>
      <c r="W22" s="258"/>
      <c r="X22" s="258"/>
      <c r="Y22" s="258"/>
      <c r="Z22" s="258"/>
      <c r="AA22" s="258"/>
      <c r="AB22" s="258"/>
      <c r="AC22" s="258"/>
      <c r="AD22" s="258"/>
      <c r="AE22" s="258"/>
      <c r="AF22" s="258"/>
      <c r="AG22" s="258"/>
    </row>
    <row r="23" spans="1:33" ht="12.6" customHeight="1" x14ac:dyDescent="0.3">
      <c r="H23" s="79"/>
      <c r="I23" s="82"/>
      <c r="J23" s="68"/>
      <c r="K23" s="68"/>
      <c r="L23" s="68"/>
      <c r="N23" s="68"/>
      <c r="O23" s="259"/>
      <c r="P23" s="259"/>
      <c r="Q23" s="258"/>
      <c r="R23" s="258"/>
      <c r="S23" s="258"/>
      <c r="T23" s="258"/>
      <c r="U23" s="258"/>
      <c r="V23" s="258"/>
      <c r="W23" s="258"/>
      <c r="X23" s="258"/>
      <c r="Y23" s="258"/>
      <c r="Z23" s="258"/>
      <c r="AA23" s="258"/>
      <c r="AB23" s="258"/>
      <c r="AC23" s="258"/>
      <c r="AD23" s="258"/>
      <c r="AE23" s="258"/>
      <c r="AF23" s="258"/>
      <c r="AG23" s="258"/>
    </row>
    <row r="24" spans="1:33" ht="15.6" x14ac:dyDescent="0.3">
      <c r="H24" s="77"/>
      <c r="I24" s="80"/>
      <c r="J24" s="69"/>
      <c r="K24" s="58"/>
      <c r="L24" s="68"/>
      <c r="N24" s="68"/>
      <c r="O24" s="258"/>
      <c r="P24" s="258"/>
      <c r="Q24" s="258"/>
      <c r="R24" s="258"/>
      <c r="S24" s="258"/>
      <c r="T24" s="258"/>
      <c r="U24" s="258"/>
      <c r="V24" s="258"/>
      <c r="W24" s="258"/>
      <c r="X24" s="258"/>
      <c r="Y24" s="258"/>
      <c r="Z24" s="258"/>
      <c r="AA24" s="258"/>
      <c r="AB24" s="258"/>
      <c r="AC24" s="258"/>
      <c r="AD24" s="258"/>
      <c r="AE24" s="258"/>
      <c r="AF24" s="258"/>
      <c r="AG24" s="258"/>
    </row>
    <row r="25" spans="1:33" ht="15.6" x14ac:dyDescent="0.3">
      <c r="H25" s="77"/>
      <c r="I25" s="80"/>
      <c r="J25" s="69"/>
      <c r="K25" s="58"/>
      <c r="L25" s="83"/>
      <c r="N25" s="68"/>
      <c r="O25" s="260"/>
      <c r="P25" s="261"/>
      <c r="Q25" s="258"/>
      <c r="R25" s="258"/>
      <c r="S25" s="258"/>
      <c r="T25" s="258"/>
      <c r="U25" s="258"/>
      <c r="V25" s="258"/>
      <c r="W25" s="258"/>
      <c r="X25" s="258"/>
      <c r="Y25" s="258"/>
      <c r="Z25" s="258"/>
      <c r="AA25" s="258"/>
      <c r="AB25" s="258"/>
      <c r="AC25" s="258"/>
      <c r="AD25" s="258"/>
      <c r="AE25" s="258"/>
      <c r="AF25" s="258"/>
      <c r="AG25" s="258"/>
    </row>
    <row r="26" spans="1:33" x14ac:dyDescent="0.3">
      <c r="H26" s="57"/>
      <c r="I26" s="57"/>
      <c r="J26" s="57"/>
      <c r="K26" s="57"/>
      <c r="L26" s="57"/>
      <c r="N26" s="57"/>
      <c r="O26" s="258"/>
      <c r="P26" s="258"/>
      <c r="Q26" s="258"/>
      <c r="R26" s="258"/>
      <c r="S26" s="258"/>
      <c r="T26" s="258"/>
      <c r="U26" s="258"/>
      <c r="V26" s="258"/>
      <c r="W26" s="258"/>
      <c r="X26" s="258"/>
      <c r="Y26" s="258"/>
      <c r="Z26" s="258"/>
      <c r="AA26" s="258"/>
      <c r="AB26" s="258"/>
      <c r="AC26" s="258"/>
      <c r="AD26" s="258"/>
      <c r="AE26" s="258"/>
      <c r="AF26" s="258"/>
      <c r="AG26" s="258"/>
    </row>
    <row r="27" spans="1:33" x14ac:dyDescent="0.3">
      <c r="O27" s="258"/>
      <c r="P27" s="258"/>
      <c r="Q27" s="258"/>
      <c r="R27" s="258"/>
      <c r="S27" s="258"/>
      <c r="T27" s="258"/>
      <c r="U27" s="258"/>
      <c r="V27" s="258"/>
      <c r="W27" s="258"/>
      <c r="X27" s="258"/>
      <c r="Y27" s="258"/>
      <c r="Z27" s="258"/>
      <c r="AA27" s="258"/>
      <c r="AB27" s="258"/>
      <c r="AC27" s="258"/>
      <c r="AD27" s="258"/>
      <c r="AE27" s="258"/>
      <c r="AF27" s="258"/>
      <c r="AG27" s="258"/>
    </row>
    <row r="28" spans="1:33" x14ac:dyDescent="0.3">
      <c r="O28" s="258"/>
      <c r="P28" s="258"/>
      <c r="Q28" s="258"/>
      <c r="R28" s="258"/>
      <c r="S28" s="258"/>
      <c r="T28" s="258"/>
      <c r="U28" s="258"/>
      <c r="V28" s="258"/>
      <c r="W28" s="258"/>
      <c r="X28" s="258"/>
      <c r="Y28" s="258"/>
      <c r="Z28" s="258"/>
      <c r="AA28" s="258"/>
      <c r="AB28" s="258"/>
      <c r="AC28" s="258"/>
      <c r="AD28" s="258"/>
      <c r="AE28" s="258"/>
      <c r="AF28" s="258"/>
      <c r="AG28" s="258"/>
    </row>
    <row r="29" spans="1:33" x14ac:dyDescent="0.3">
      <c r="N29" s="17"/>
      <c r="O29" s="259"/>
      <c r="P29" s="259"/>
      <c r="Q29" s="259"/>
      <c r="R29" s="259"/>
      <c r="S29" s="259"/>
      <c r="T29" s="259"/>
      <c r="U29" s="259"/>
      <c r="V29" s="259"/>
      <c r="W29" s="258"/>
      <c r="X29" s="258"/>
      <c r="Y29" s="258"/>
      <c r="Z29" s="258"/>
      <c r="AA29" s="258"/>
      <c r="AB29" s="258"/>
      <c r="AC29" s="258"/>
      <c r="AD29" s="258"/>
      <c r="AE29" s="258"/>
      <c r="AF29" s="258"/>
      <c r="AG29" s="258"/>
    </row>
    <row r="30" spans="1:33" ht="17.399999999999999" x14ac:dyDescent="0.3">
      <c r="N30" s="5"/>
      <c r="O30" s="264"/>
      <c r="P30" s="265"/>
      <c r="Q30" s="265"/>
      <c r="R30" s="265"/>
      <c r="S30" s="258"/>
      <c r="T30" s="259"/>
      <c r="U30" s="259"/>
      <c r="V30" s="259"/>
      <c r="W30" s="258"/>
      <c r="X30" s="258"/>
      <c r="Y30" s="258"/>
      <c r="Z30" s="258"/>
      <c r="AA30" s="258"/>
      <c r="AB30" s="258"/>
      <c r="AC30" s="258"/>
      <c r="AD30" s="258"/>
      <c r="AE30" s="258"/>
      <c r="AF30" s="258"/>
      <c r="AG30" s="258"/>
    </row>
    <row r="31" spans="1:33" x14ac:dyDescent="0.3">
      <c r="N31" s="5"/>
      <c r="O31" s="266"/>
      <c r="P31" s="267"/>
      <c r="Q31" s="268"/>
      <c r="R31" s="269"/>
      <c r="S31" s="258"/>
      <c r="T31" s="259"/>
      <c r="U31" s="259"/>
      <c r="V31" s="259"/>
      <c r="W31" s="258"/>
      <c r="X31" s="258"/>
      <c r="Y31" s="258"/>
      <c r="Z31" s="258"/>
      <c r="AA31" s="258"/>
      <c r="AB31" s="258"/>
      <c r="AC31" s="258"/>
      <c r="AD31" s="258"/>
      <c r="AE31" s="258"/>
      <c r="AF31" s="258"/>
      <c r="AG31" s="258"/>
    </row>
    <row r="32" spans="1:33" x14ac:dyDescent="0.3">
      <c r="N32" s="5"/>
      <c r="O32" s="266"/>
      <c r="P32" s="270"/>
      <c r="Q32" s="271"/>
      <c r="R32" s="272"/>
      <c r="S32" s="258"/>
      <c r="T32" s="259"/>
      <c r="U32" s="259"/>
      <c r="V32" s="259"/>
      <c r="W32" s="258"/>
      <c r="X32" s="258"/>
      <c r="Y32" s="258"/>
      <c r="Z32" s="258"/>
      <c r="AA32" s="258"/>
      <c r="AB32" s="258"/>
      <c r="AC32" s="258"/>
      <c r="AD32" s="258"/>
      <c r="AE32" s="258"/>
      <c r="AF32" s="258"/>
      <c r="AG32" s="258"/>
    </row>
    <row r="33" spans="10:33" x14ac:dyDescent="0.3">
      <c r="N33" s="5"/>
      <c r="O33" s="266"/>
      <c r="P33" s="273"/>
      <c r="Q33" s="271"/>
      <c r="R33" s="272"/>
      <c r="S33" s="258"/>
      <c r="T33" s="259"/>
      <c r="U33" s="259"/>
      <c r="V33" s="259"/>
      <c r="W33" s="258"/>
      <c r="X33" s="258"/>
      <c r="Y33" s="258"/>
      <c r="Z33" s="258"/>
      <c r="AA33" s="258"/>
      <c r="AB33" s="258"/>
      <c r="AC33" s="258"/>
      <c r="AD33" s="258"/>
      <c r="AE33" s="258"/>
      <c r="AF33" s="258"/>
      <c r="AG33" s="258"/>
    </row>
    <row r="34" spans="10:33" x14ac:dyDescent="0.3">
      <c r="N34" s="5"/>
      <c r="O34" s="259"/>
      <c r="P34" s="259"/>
      <c r="Q34" s="259"/>
      <c r="R34" s="259"/>
      <c r="S34" s="259"/>
      <c r="T34" s="259"/>
      <c r="U34" s="259"/>
      <c r="V34" s="259"/>
      <c r="W34" s="258"/>
      <c r="X34" s="258"/>
      <c r="Y34" s="258"/>
      <c r="Z34" s="258"/>
      <c r="AA34" s="258"/>
      <c r="AB34" s="258"/>
      <c r="AC34" s="258"/>
      <c r="AD34" s="258"/>
      <c r="AE34" s="258"/>
      <c r="AF34" s="258"/>
      <c r="AG34" s="258"/>
    </row>
    <row r="35" spans="10:33" ht="17.399999999999999" x14ac:dyDescent="0.3">
      <c r="N35" s="5"/>
      <c r="O35" s="264"/>
      <c r="P35" s="270"/>
      <c r="Q35" s="270"/>
      <c r="R35" s="270"/>
      <c r="S35" s="259"/>
      <c r="T35" s="259"/>
      <c r="U35" s="259"/>
      <c r="V35" s="259"/>
      <c r="W35" s="259"/>
      <c r="X35" s="258"/>
      <c r="Y35" s="258"/>
      <c r="Z35" s="258"/>
      <c r="AA35" s="258"/>
      <c r="AB35" s="258"/>
      <c r="AC35" s="258"/>
      <c r="AD35" s="258"/>
      <c r="AE35" s="258"/>
      <c r="AF35" s="258"/>
      <c r="AG35" s="258"/>
    </row>
    <row r="36" spans="10:33" x14ac:dyDescent="0.3">
      <c r="N36" s="5"/>
      <c r="O36" s="265"/>
      <c r="P36" s="274"/>
      <c r="Q36" s="275"/>
      <c r="R36" s="276"/>
      <c r="S36" s="259"/>
      <c r="T36" s="259"/>
      <c r="U36" s="259"/>
      <c r="V36" s="259"/>
      <c r="W36" s="259"/>
      <c r="X36" s="258"/>
      <c r="Y36" s="258"/>
      <c r="Z36" s="258"/>
      <c r="AA36" s="258"/>
      <c r="AB36" s="258"/>
      <c r="AC36" s="258"/>
      <c r="AD36" s="258"/>
      <c r="AE36" s="258"/>
      <c r="AF36" s="258"/>
      <c r="AG36" s="258"/>
    </row>
    <row r="37" spans="10:33" x14ac:dyDescent="0.3">
      <c r="N37" s="5"/>
      <c r="O37" s="265"/>
      <c r="P37" s="274"/>
      <c r="Q37" s="275"/>
      <c r="R37" s="274"/>
      <c r="S37" s="259"/>
      <c r="T37" s="277"/>
      <c r="U37" s="259"/>
      <c r="V37" s="259"/>
      <c r="W37" s="259"/>
      <c r="X37" s="258"/>
      <c r="Y37" s="258"/>
      <c r="Z37" s="258"/>
      <c r="AA37" s="258"/>
      <c r="AB37" s="258"/>
      <c r="AC37" s="258"/>
      <c r="AD37" s="258"/>
      <c r="AE37" s="258"/>
      <c r="AF37" s="258"/>
      <c r="AG37" s="258"/>
    </row>
    <row r="38" spans="10:33" ht="15.6" x14ac:dyDescent="0.3">
      <c r="N38" s="5"/>
      <c r="O38" s="278"/>
      <c r="P38" s="279"/>
      <c r="Q38" s="280"/>
      <c r="R38" s="281"/>
      <c r="S38" s="259"/>
      <c r="T38" s="282"/>
      <c r="U38" s="283"/>
      <c r="V38" s="263"/>
      <c r="W38" s="259"/>
      <c r="X38" s="258"/>
      <c r="Y38" s="258"/>
      <c r="Z38" s="258"/>
      <c r="AA38" s="258"/>
      <c r="AB38" s="258"/>
      <c r="AC38" s="258"/>
      <c r="AD38" s="258"/>
      <c r="AE38" s="258"/>
      <c r="AF38" s="258"/>
      <c r="AG38" s="258"/>
    </row>
    <row r="39" spans="10:33" ht="12" customHeight="1" x14ac:dyDescent="0.3">
      <c r="N39" s="5"/>
      <c r="O39" s="259"/>
      <c r="P39" s="259"/>
      <c r="Q39" s="259"/>
      <c r="R39" s="259"/>
      <c r="S39" s="259"/>
      <c r="T39" s="259"/>
      <c r="U39" s="259"/>
      <c r="V39" s="259"/>
      <c r="W39" s="259"/>
      <c r="X39" s="258"/>
      <c r="Y39" s="258"/>
      <c r="Z39" s="258"/>
      <c r="AA39" s="258"/>
      <c r="AB39" s="258"/>
      <c r="AC39" s="258"/>
      <c r="AD39" s="258"/>
      <c r="AE39" s="258"/>
      <c r="AF39" s="258"/>
      <c r="AG39" s="258"/>
    </row>
    <row r="40" spans="10:33" ht="17.399999999999999" customHeight="1" x14ac:dyDescent="0.3">
      <c r="J40" s="17"/>
      <c r="K40" s="17"/>
      <c r="L40" s="17"/>
      <c r="N40" s="5"/>
      <c r="O40" s="264"/>
      <c r="P40" s="265"/>
      <c r="Q40" s="265"/>
      <c r="R40" s="265"/>
      <c r="S40" s="259"/>
      <c r="T40" s="277"/>
      <c r="U40" s="259"/>
      <c r="V40" s="259"/>
      <c r="W40" s="259"/>
      <c r="X40" s="258"/>
      <c r="Y40" s="258"/>
      <c r="Z40" s="258"/>
      <c r="AA40" s="258"/>
      <c r="AB40" s="258"/>
      <c r="AC40" s="258"/>
      <c r="AD40" s="258"/>
      <c r="AE40" s="258"/>
      <c r="AF40" s="258"/>
      <c r="AG40" s="258"/>
    </row>
    <row r="41" spans="10:33" ht="15.6" x14ac:dyDescent="0.3">
      <c r="N41" s="5"/>
      <c r="O41" s="284"/>
      <c r="P41" s="285"/>
      <c r="Q41" s="286"/>
      <c r="R41" s="287"/>
      <c r="S41" s="259"/>
      <c r="T41" s="288"/>
      <c r="U41" s="263"/>
      <c r="V41" s="289"/>
      <c r="W41" s="259"/>
      <c r="X41" s="258"/>
      <c r="Y41" s="258"/>
      <c r="Z41" s="258"/>
      <c r="AA41" s="258"/>
      <c r="AB41" s="258"/>
      <c r="AC41" s="258"/>
      <c r="AD41" s="258"/>
      <c r="AE41" s="258"/>
      <c r="AF41" s="258"/>
      <c r="AG41" s="258"/>
    </row>
    <row r="42" spans="10:33" ht="15.6" x14ac:dyDescent="0.3">
      <c r="N42" s="5"/>
      <c r="O42" s="286"/>
      <c r="P42" s="285"/>
      <c r="Q42" s="286"/>
      <c r="R42" s="286"/>
      <c r="S42" s="259"/>
      <c r="T42" s="288"/>
      <c r="U42" s="263"/>
      <c r="V42" s="289"/>
      <c r="W42" s="259"/>
      <c r="X42" s="258"/>
      <c r="Y42" s="258"/>
      <c r="Z42" s="258"/>
      <c r="AA42" s="258"/>
      <c r="AB42" s="258"/>
      <c r="AC42" s="258"/>
      <c r="AD42" s="258"/>
      <c r="AE42" s="258"/>
      <c r="AF42" s="258"/>
      <c r="AG42" s="258"/>
    </row>
    <row r="43" spans="10:33" ht="15.6" x14ac:dyDescent="0.3">
      <c r="N43" s="5"/>
      <c r="O43" s="286"/>
      <c r="P43" s="285"/>
      <c r="Q43" s="286"/>
      <c r="R43" s="287"/>
      <c r="S43" s="259"/>
      <c r="T43" s="288"/>
      <c r="U43" s="263"/>
      <c r="V43" s="289"/>
      <c r="W43" s="259"/>
      <c r="X43" s="258"/>
      <c r="Y43" s="258"/>
      <c r="Z43" s="258"/>
      <c r="AA43" s="258"/>
      <c r="AB43" s="258"/>
      <c r="AC43" s="258"/>
      <c r="AD43" s="258"/>
      <c r="AE43" s="258"/>
      <c r="AF43" s="258"/>
      <c r="AG43" s="258"/>
    </row>
    <row r="44" spans="10:33" x14ac:dyDescent="0.3">
      <c r="N44" s="5"/>
      <c r="O44" s="259"/>
      <c r="P44" s="259"/>
      <c r="Q44" s="259"/>
      <c r="R44" s="259"/>
      <c r="S44" s="258"/>
      <c r="T44" s="259"/>
      <c r="U44" s="259"/>
      <c r="V44" s="259"/>
      <c r="W44" s="259"/>
      <c r="X44" s="258"/>
      <c r="Y44" s="258"/>
      <c r="Z44" s="258"/>
      <c r="AA44" s="258"/>
      <c r="AB44" s="258"/>
      <c r="AC44" s="258"/>
      <c r="AD44" s="258"/>
      <c r="AE44" s="258"/>
      <c r="AF44" s="258"/>
      <c r="AG44" s="258"/>
    </row>
    <row r="45" spans="10:33" x14ac:dyDescent="0.3">
      <c r="N45" s="5"/>
      <c r="O45" s="258"/>
      <c r="P45" s="258"/>
      <c r="Q45" s="258"/>
      <c r="R45" s="258"/>
      <c r="S45" s="258"/>
      <c r="T45" s="258"/>
      <c r="U45" s="258"/>
      <c r="V45" s="258"/>
      <c r="W45" s="258"/>
      <c r="X45" s="258"/>
      <c r="Y45" s="258"/>
      <c r="Z45" s="258"/>
      <c r="AA45" s="258"/>
      <c r="AB45" s="258"/>
      <c r="AC45" s="258"/>
      <c r="AD45" s="258"/>
      <c r="AE45" s="258"/>
      <c r="AF45" s="258"/>
      <c r="AG45" s="258"/>
    </row>
    <row r="46" spans="10:33" x14ac:dyDescent="0.3">
      <c r="N46" s="5"/>
      <c r="O46" s="258"/>
      <c r="P46" s="258"/>
      <c r="Q46" s="258"/>
      <c r="R46" s="258"/>
      <c r="S46" s="258"/>
      <c r="T46" s="258"/>
      <c r="U46" s="258"/>
      <c r="V46" s="258"/>
      <c r="W46" s="259"/>
      <c r="X46" s="258"/>
      <c r="Y46" s="258"/>
      <c r="Z46" s="258"/>
      <c r="AA46" s="258"/>
      <c r="AB46" s="258"/>
      <c r="AC46" s="258"/>
      <c r="AD46" s="258"/>
      <c r="AE46" s="258"/>
      <c r="AF46" s="258"/>
      <c r="AG46" s="258"/>
    </row>
    <row r="47" spans="10:33" x14ac:dyDescent="0.3">
      <c r="N47" s="5"/>
      <c r="O47" s="258"/>
      <c r="P47" s="258"/>
      <c r="Q47" s="258"/>
      <c r="R47" s="258"/>
      <c r="S47" s="258"/>
      <c r="T47" s="258"/>
      <c r="U47" s="258"/>
      <c r="V47" s="258"/>
      <c r="W47" s="258"/>
      <c r="X47" s="258"/>
      <c r="Y47" s="258"/>
      <c r="Z47" s="258"/>
      <c r="AA47" s="258"/>
      <c r="AB47" s="258"/>
      <c r="AC47" s="258"/>
      <c r="AD47" s="258"/>
      <c r="AE47" s="258"/>
      <c r="AF47" s="258"/>
      <c r="AG47" s="258"/>
    </row>
    <row r="48" spans="10:33" x14ac:dyDescent="0.3">
      <c r="N48" s="5"/>
      <c r="O48" s="258"/>
      <c r="P48" s="258"/>
      <c r="Q48" s="258"/>
      <c r="R48" s="258"/>
      <c r="S48" s="258"/>
      <c r="T48" s="258"/>
      <c r="U48" s="258"/>
      <c r="V48" s="258"/>
      <c r="W48" s="258"/>
      <c r="X48" s="258"/>
      <c r="Y48" s="258"/>
      <c r="Z48" s="258"/>
      <c r="AA48" s="258"/>
      <c r="AB48" s="258"/>
      <c r="AC48" s="258"/>
      <c r="AD48" s="258"/>
      <c r="AE48" s="258"/>
      <c r="AF48" s="258"/>
      <c r="AG48" s="258"/>
    </row>
    <row r="49" spans="1:33" x14ac:dyDescent="0.3">
      <c r="N49" s="5"/>
      <c r="O49" s="258"/>
      <c r="P49" s="258"/>
      <c r="Q49" s="258"/>
      <c r="R49" s="258"/>
      <c r="S49" s="258"/>
      <c r="T49" s="258"/>
      <c r="U49" s="258"/>
      <c r="V49" s="258"/>
      <c r="W49" s="258"/>
      <c r="X49" s="258"/>
      <c r="Y49" s="258"/>
      <c r="Z49" s="258"/>
      <c r="AA49" s="258"/>
      <c r="AB49" s="258"/>
      <c r="AC49" s="258"/>
      <c r="AD49" s="258"/>
      <c r="AE49" s="258"/>
      <c r="AF49" s="258"/>
      <c r="AG49" s="258"/>
    </row>
    <row r="50" spans="1:33" x14ac:dyDescent="0.3">
      <c r="O50" s="258"/>
      <c r="P50" s="258"/>
      <c r="Q50" s="258"/>
      <c r="R50" s="258"/>
      <c r="S50" s="258"/>
      <c r="T50" s="258"/>
      <c r="U50" s="258"/>
      <c r="V50" s="258"/>
      <c r="W50" s="258"/>
      <c r="X50" s="258"/>
      <c r="Y50" s="258"/>
      <c r="Z50" s="258"/>
      <c r="AA50" s="258"/>
      <c r="AB50" s="258"/>
      <c r="AC50" s="258"/>
      <c r="AD50" s="258"/>
      <c r="AE50" s="258"/>
      <c r="AF50" s="258"/>
      <c r="AG50" s="258"/>
    </row>
    <row r="51" spans="1:33" x14ac:dyDescent="0.3">
      <c r="O51" s="258"/>
      <c r="P51" s="258"/>
      <c r="Q51" s="258"/>
      <c r="R51" s="258"/>
      <c r="S51" s="258"/>
      <c r="T51" s="258"/>
      <c r="U51" s="258"/>
      <c r="V51" s="258"/>
      <c r="W51" s="258"/>
      <c r="X51" s="258"/>
      <c r="Y51" s="258"/>
      <c r="Z51" s="258"/>
      <c r="AA51" s="258"/>
      <c r="AB51" s="258"/>
      <c r="AC51" s="258"/>
      <c r="AD51" s="258"/>
      <c r="AE51" s="258"/>
      <c r="AF51" s="258"/>
      <c r="AG51" s="258"/>
    </row>
    <row r="52" spans="1:33" x14ac:dyDescent="0.3">
      <c r="O52" s="258"/>
      <c r="P52" s="258"/>
      <c r="Q52" s="258"/>
      <c r="R52" s="258"/>
      <c r="S52" s="258"/>
      <c r="T52" s="258"/>
      <c r="U52" s="258"/>
      <c r="V52" s="258"/>
      <c r="W52" s="258"/>
      <c r="X52" s="258"/>
      <c r="Y52" s="258"/>
      <c r="Z52" s="258"/>
      <c r="AA52" s="258"/>
      <c r="AB52" s="258"/>
      <c r="AC52" s="258"/>
      <c r="AD52" s="258"/>
      <c r="AE52" s="258"/>
      <c r="AF52" s="258"/>
      <c r="AG52" s="258"/>
    </row>
    <row r="53" spans="1:33" x14ac:dyDescent="0.3">
      <c r="O53" s="258"/>
      <c r="P53" s="258"/>
      <c r="Q53" s="258"/>
      <c r="R53" s="258"/>
      <c r="S53" s="258"/>
      <c r="T53" s="258"/>
      <c r="U53" s="258"/>
      <c r="V53" s="258"/>
      <c r="W53" s="258"/>
      <c r="X53" s="258"/>
      <c r="Y53" s="258"/>
      <c r="Z53" s="258"/>
      <c r="AA53" s="258"/>
      <c r="AB53" s="258"/>
      <c r="AC53" s="258"/>
      <c r="AD53" s="258"/>
      <c r="AE53" s="258"/>
      <c r="AF53" s="258"/>
      <c r="AG53" s="258"/>
    </row>
    <row r="54" spans="1:33" x14ac:dyDescent="0.3">
      <c r="O54" s="258"/>
      <c r="P54" s="258"/>
      <c r="Q54" s="258"/>
      <c r="R54" s="258"/>
      <c r="S54" s="258"/>
      <c r="T54" s="258"/>
      <c r="U54" s="258"/>
      <c r="V54" s="258"/>
      <c r="W54" s="258"/>
      <c r="X54" s="258"/>
      <c r="Y54" s="258"/>
      <c r="Z54" s="258"/>
      <c r="AA54" s="258"/>
      <c r="AB54" s="258"/>
      <c r="AC54" s="258"/>
      <c r="AD54" s="258"/>
      <c r="AE54" s="258"/>
      <c r="AF54" s="258"/>
      <c r="AG54" s="258"/>
    </row>
    <row r="55" spans="1:33" x14ac:dyDescent="0.3">
      <c r="O55" s="258"/>
      <c r="P55" s="258"/>
      <c r="Q55" s="258"/>
      <c r="R55" s="258"/>
      <c r="S55" s="258"/>
      <c r="T55" s="258"/>
      <c r="U55" s="258"/>
      <c r="V55" s="258"/>
      <c r="W55" s="258"/>
      <c r="X55" s="258"/>
      <c r="Y55" s="258"/>
      <c r="Z55" s="258"/>
      <c r="AA55" s="258"/>
      <c r="AB55" s="258"/>
      <c r="AC55" s="258"/>
      <c r="AD55" s="258"/>
      <c r="AE55" s="258"/>
      <c r="AF55" s="258"/>
      <c r="AG55" s="258"/>
    </row>
    <row r="56" spans="1:33" x14ac:dyDescent="0.3">
      <c r="O56" s="258"/>
      <c r="P56" s="258"/>
      <c r="Q56" s="258"/>
      <c r="R56" s="258"/>
      <c r="S56" s="258"/>
      <c r="T56" s="258"/>
      <c r="U56" s="258"/>
      <c r="V56" s="258"/>
      <c r="W56" s="258"/>
      <c r="X56" s="258"/>
      <c r="Y56" s="258"/>
      <c r="Z56" s="258"/>
      <c r="AA56" s="258"/>
      <c r="AB56" s="258"/>
      <c r="AC56" s="258"/>
      <c r="AD56" s="258"/>
      <c r="AE56" s="258"/>
      <c r="AF56" s="258"/>
      <c r="AG56" s="258"/>
    </row>
    <row r="57" spans="1:33" x14ac:dyDescent="0.3">
      <c r="A57" s="258"/>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row>
    <row r="58" spans="1:33" x14ac:dyDescent="0.3">
      <c r="O58" s="258"/>
      <c r="P58" s="258"/>
      <c r="Q58" s="258"/>
      <c r="R58" s="258"/>
      <c r="S58" s="258"/>
      <c r="T58" s="258"/>
      <c r="U58" s="258"/>
      <c r="V58" s="258"/>
      <c r="W58" s="258"/>
      <c r="X58" s="258"/>
      <c r="Y58" s="258"/>
      <c r="Z58" s="258"/>
      <c r="AA58" s="258"/>
      <c r="AB58" s="258"/>
      <c r="AC58" s="258"/>
      <c r="AD58" s="258"/>
      <c r="AE58" s="258"/>
      <c r="AF58" s="258"/>
      <c r="AG58" s="258"/>
    </row>
    <row r="59" spans="1:33" x14ac:dyDescent="0.3">
      <c r="O59" s="258"/>
      <c r="P59" s="258"/>
      <c r="Q59" s="258"/>
      <c r="R59" s="258"/>
      <c r="S59" s="258"/>
      <c r="T59" s="258"/>
      <c r="U59" s="258"/>
      <c r="V59" s="258"/>
      <c r="W59" s="258"/>
      <c r="X59" s="258"/>
      <c r="Y59" s="258"/>
      <c r="Z59" s="258"/>
      <c r="AA59" s="258"/>
      <c r="AB59" s="258"/>
      <c r="AC59" s="258"/>
      <c r="AD59" s="258"/>
      <c r="AE59" s="258"/>
      <c r="AF59" s="258"/>
      <c r="AG59" s="258"/>
    </row>
    <row r="60" spans="1:33" x14ac:dyDescent="0.3">
      <c r="O60" s="258"/>
      <c r="P60" s="258"/>
      <c r="Q60" s="258"/>
      <c r="R60" s="258"/>
      <c r="S60" s="258"/>
      <c r="T60" s="258"/>
      <c r="U60" s="258"/>
      <c r="V60" s="258"/>
      <c r="W60" s="258"/>
      <c r="X60" s="258"/>
      <c r="Y60" s="258"/>
      <c r="Z60" s="258"/>
      <c r="AA60" s="258"/>
      <c r="AB60" s="258"/>
      <c r="AC60" s="258"/>
      <c r="AD60" s="258"/>
      <c r="AE60" s="258"/>
      <c r="AF60" s="258"/>
      <c r="AG60" s="258"/>
    </row>
    <row r="61" spans="1:33" x14ac:dyDescent="0.3">
      <c r="O61" s="258"/>
      <c r="P61" s="258"/>
      <c r="Q61" s="258"/>
      <c r="R61" s="258"/>
      <c r="S61" s="258"/>
      <c r="T61" s="258"/>
      <c r="U61" s="258"/>
      <c r="V61" s="258"/>
      <c r="W61" s="258"/>
      <c r="X61" s="258"/>
      <c r="Y61" s="258"/>
      <c r="Z61" s="258"/>
      <c r="AA61" s="258"/>
      <c r="AB61" s="258"/>
      <c r="AC61" s="258"/>
      <c r="AD61" s="258"/>
      <c r="AE61" s="258"/>
      <c r="AF61" s="258"/>
      <c r="AG61" s="258"/>
    </row>
    <row r="62" spans="1:33" x14ac:dyDescent="0.3">
      <c r="O62" s="258"/>
      <c r="P62" s="258"/>
      <c r="Q62" s="258"/>
      <c r="R62" s="258"/>
      <c r="S62" s="258"/>
      <c r="T62" s="258"/>
      <c r="U62" s="258"/>
      <c r="V62" s="258"/>
      <c r="W62" s="258"/>
      <c r="X62" s="258"/>
      <c r="Y62" s="258"/>
      <c r="Z62" s="258"/>
      <c r="AA62" s="258"/>
      <c r="AB62" s="258"/>
      <c r="AC62" s="258"/>
      <c r="AD62" s="258"/>
      <c r="AE62" s="258"/>
      <c r="AF62" s="258"/>
      <c r="AG62" s="258"/>
    </row>
  </sheetData>
  <mergeCells count="2">
    <mergeCell ref="O17:O18"/>
    <mergeCell ref="P17:P18"/>
  </mergeCells>
  <hyperlinks>
    <hyperlink ref="A1"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9"/>
  <sheetViews>
    <sheetView zoomScale="90" zoomScaleNormal="90" workbookViewId="0">
      <selection activeCell="J31" sqref="J31"/>
    </sheetView>
  </sheetViews>
  <sheetFormatPr baseColWidth="10" defaultRowHeight="14.4" x14ac:dyDescent="0.3"/>
  <cols>
    <col min="1" max="1" width="4.77734375" style="13" customWidth="1"/>
    <col min="2" max="2" width="4.6640625" customWidth="1"/>
    <col min="3" max="3" width="24.6640625" customWidth="1"/>
    <col min="4" max="4" width="14.33203125" customWidth="1"/>
    <col min="5" max="5" width="11.77734375" customWidth="1"/>
    <col min="6" max="6" width="15.88671875" customWidth="1"/>
    <col min="7" max="7" width="1" customWidth="1"/>
    <col min="8" max="8" width="15.6640625" customWidth="1"/>
    <col min="9" max="9" width="3.33203125" customWidth="1"/>
    <col min="10" max="10" width="8.109375" customWidth="1"/>
  </cols>
  <sheetData>
    <row r="1" spans="1:11" ht="22.8" x14ac:dyDescent="0.4">
      <c r="C1" s="86"/>
      <c r="D1" s="87" t="s">
        <v>43</v>
      </c>
      <c r="E1" s="86"/>
      <c r="F1" s="466"/>
    </row>
    <row r="2" spans="1:11" x14ac:dyDescent="0.3">
      <c r="A2" s="256" t="s">
        <v>44</v>
      </c>
    </row>
    <row r="3" spans="1:11" ht="15" thickBot="1" x14ac:dyDescent="0.35">
      <c r="B3" s="17"/>
      <c r="C3" s="17"/>
      <c r="D3" s="17"/>
      <c r="E3" s="17"/>
      <c r="F3" s="17"/>
      <c r="G3" s="17"/>
      <c r="H3" s="17"/>
      <c r="I3" s="17"/>
      <c r="J3" s="17"/>
    </row>
    <row r="4" spans="1:11" ht="15" thickTop="1" x14ac:dyDescent="0.3">
      <c r="B4" s="5"/>
      <c r="C4" s="470" t="s">
        <v>195</v>
      </c>
      <c r="D4" s="28" t="s">
        <v>22</v>
      </c>
      <c r="E4" s="28" t="s">
        <v>23</v>
      </c>
      <c r="F4" s="29" t="s">
        <v>30</v>
      </c>
      <c r="G4" s="13"/>
      <c r="H4" s="17"/>
      <c r="I4" s="17"/>
      <c r="J4" s="17"/>
    </row>
    <row r="5" spans="1:11" x14ac:dyDescent="0.3">
      <c r="B5" s="5"/>
      <c r="C5" s="30" t="s">
        <v>194</v>
      </c>
      <c r="D5" s="88">
        <v>545</v>
      </c>
      <c r="E5" s="21">
        <f>D5/D5</f>
        <v>1</v>
      </c>
      <c r="F5" s="31">
        <f>1/E5</f>
        <v>1</v>
      </c>
      <c r="G5" s="13"/>
      <c r="H5" s="17"/>
      <c r="I5" s="17"/>
      <c r="J5" s="17"/>
    </row>
    <row r="6" spans="1:11" x14ac:dyDescent="0.3">
      <c r="B6" s="5"/>
      <c r="C6" s="30" t="s">
        <v>24</v>
      </c>
      <c r="D6" s="467">
        <v>23330000</v>
      </c>
      <c r="E6" s="469">
        <f>D5/D6</f>
        <v>2.3360480068581225E-5</v>
      </c>
      <c r="F6" s="32">
        <f>1/E6</f>
        <v>42807.339449541287</v>
      </c>
      <c r="G6" s="13"/>
      <c r="H6" s="17"/>
      <c r="I6" s="17"/>
      <c r="J6" s="17"/>
    </row>
    <row r="7" spans="1:11" ht="15" thickBot="1" x14ac:dyDescent="0.35">
      <c r="B7" s="5"/>
      <c r="C7" s="33" t="s">
        <v>25</v>
      </c>
      <c r="D7" s="34">
        <f>0.742*0.917*1000000</f>
        <v>680414.00000000012</v>
      </c>
      <c r="E7" s="468">
        <f>D5/D7</f>
        <v>8.0098293098025599E-4</v>
      </c>
      <c r="F7" s="35">
        <f>1/E7</f>
        <v>1248.4660550458718</v>
      </c>
      <c r="G7" s="13"/>
      <c r="H7" s="17"/>
      <c r="I7" s="17"/>
      <c r="J7" s="17"/>
    </row>
    <row r="8" spans="1:11" ht="15.6" thickTop="1" thickBot="1" x14ac:dyDescent="0.35">
      <c r="B8" s="17"/>
      <c r="C8" s="17"/>
      <c r="D8" s="17"/>
      <c r="E8" s="17"/>
      <c r="F8" s="17"/>
      <c r="G8" s="17"/>
      <c r="H8" s="17"/>
      <c r="I8" s="17"/>
      <c r="J8" s="17"/>
    </row>
    <row r="9" spans="1:11" ht="18" thickTop="1" x14ac:dyDescent="0.3">
      <c r="B9" s="5"/>
      <c r="C9" s="27" t="s">
        <v>21</v>
      </c>
      <c r="D9" s="151" t="s">
        <v>75</v>
      </c>
      <c r="E9" s="151" t="s">
        <v>77</v>
      </c>
      <c r="F9" s="152" t="s">
        <v>74</v>
      </c>
      <c r="G9" s="17"/>
      <c r="H9" s="17"/>
      <c r="I9" s="17"/>
      <c r="J9" s="17"/>
      <c r="K9" s="17"/>
    </row>
    <row r="10" spans="1:11" ht="16.2" thickBot="1" x14ac:dyDescent="0.35">
      <c r="B10" s="24">
        <v>1</v>
      </c>
      <c r="C10" s="153" t="s">
        <v>191</v>
      </c>
      <c r="D10" s="22">
        <v>0.7</v>
      </c>
      <c r="E10" s="20">
        <v>1090</v>
      </c>
      <c r="F10" s="154">
        <f>E10/D10</f>
        <v>1557.1428571428573</v>
      </c>
      <c r="G10" s="17"/>
      <c r="H10" s="17"/>
      <c r="I10" s="17"/>
      <c r="J10" s="17"/>
      <c r="K10" s="17"/>
    </row>
    <row r="11" spans="1:11" ht="16.2" thickTop="1" x14ac:dyDescent="0.3">
      <c r="B11" s="24">
        <v>2</v>
      </c>
      <c r="C11" s="153" t="s">
        <v>192</v>
      </c>
      <c r="D11" s="22">
        <v>1.7</v>
      </c>
      <c r="E11" s="487">
        <v>545</v>
      </c>
      <c r="F11" s="480">
        <f>E11/D11</f>
        <v>320.58823529411768</v>
      </c>
      <c r="G11" s="17"/>
      <c r="H11" s="170" t="s">
        <v>76</v>
      </c>
      <c r="I11" s="145"/>
      <c r="J11" s="146"/>
      <c r="K11" s="17"/>
    </row>
    <row r="12" spans="1:11" ht="18" thickBot="1" x14ac:dyDescent="0.35">
      <c r="B12" s="24">
        <v>3</v>
      </c>
      <c r="C12" s="172" t="s">
        <v>193</v>
      </c>
      <c r="D12" s="155">
        <v>12.4</v>
      </c>
      <c r="E12" s="156">
        <v>545</v>
      </c>
      <c r="F12" s="488">
        <f>E12/D12</f>
        <v>43.951612903225808</v>
      </c>
      <c r="G12" s="17"/>
      <c r="H12" s="157">
        <v>-10710</v>
      </c>
      <c r="I12" s="166" t="s">
        <v>31</v>
      </c>
      <c r="J12" s="158">
        <v>2180</v>
      </c>
      <c r="K12" s="17"/>
    </row>
    <row r="13" spans="1:11" ht="12" customHeight="1" thickTop="1" thickBot="1" x14ac:dyDescent="0.35">
      <c r="B13" s="5"/>
      <c r="C13" s="5"/>
      <c r="D13" s="5"/>
      <c r="E13" s="5"/>
      <c r="F13" s="5"/>
      <c r="G13" s="5"/>
      <c r="H13" s="5"/>
      <c r="I13" s="5"/>
      <c r="J13" s="5"/>
      <c r="K13" s="17"/>
    </row>
    <row r="14" spans="1:11" ht="17.399999999999999" customHeight="1" thickTop="1" x14ac:dyDescent="0.3">
      <c r="B14" s="24"/>
      <c r="C14" s="23" t="s">
        <v>26</v>
      </c>
      <c r="D14" s="25" t="s">
        <v>75</v>
      </c>
      <c r="E14" s="25" t="s">
        <v>77</v>
      </c>
      <c r="F14" s="26" t="s">
        <v>74</v>
      </c>
      <c r="G14" s="17"/>
      <c r="H14" s="170" t="s">
        <v>76</v>
      </c>
      <c r="I14" s="145"/>
      <c r="J14" s="146"/>
      <c r="K14" s="17"/>
    </row>
    <row r="15" spans="1:11" ht="16.2" thickBot="1" x14ac:dyDescent="0.35">
      <c r="B15" s="24" t="s">
        <v>27</v>
      </c>
      <c r="C15" s="171" t="s">
        <v>92</v>
      </c>
      <c r="D15" s="173">
        <v>12.4</v>
      </c>
      <c r="E15" s="149">
        <v>980</v>
      </c>
      <c r="F15" s="164">
        <f>E15/D15</f>
        <v>79.032258064516128</v>
      </c>
      <c r="G15" s="17"/>
      <c r="H15" s="159">
        <v>-6675</v>
      </c>
      <c r="I15" s="167" t="s">
        <v>31</v>
      </c>
      <c r="J15" s="160">
        <v>2615</v>
      </c>
      <c r="K15" s="17"/>
    </row>
    <row r="16" spans="1:11" ht="15.6" x14ac:dyDescent="0.3">
      <c r="B16" s="24" t="s">
        <v>28</v>
      </c>
      <c r="C16" s="147" t="s">
        <v>16</v>
      </c>
      <c r="D16" s="174">
        <v>12.4</v>
      </c>
      <c r="E16" s="481">
        <f>D16*F16</f>
        <v>3975.2941176470595</v>
      </c>
      <c r="F16" s="479">
        <f>F11</f>
        <v>320.58823529411768</v>
      </c>
      <c r="G16" s="17"/>
      <c r="H16" s="161">
        <f>H12</f>
        <v>-10710</v>
      </c>
      <c r="I16" s="168" t="s">
        <v>31</v>
      </c>
      <c r="J16" s="482">
        <f>E10+E11+E16</f>
        <v>5610.2941176470595</v>
      </c>
      <c r="K16" s="17"/>
    </row>
    <row r="17" spans="2:11" ht="16.2" thickBot="1" x14ac:dyDescent="0.35">
      <c r="B17" s="24" t="s">
        <v>29</v>
      </c>
      <c r="C17" s="148" t="s">
        <v>15</v>
      </c>
      <c r="D17" s="175">
        <v>12.4</v>
      </c>
      <c r="E17" s="483">
        <f>F17*D17</f>
        <v>19308.571428571431</v>
      </c>
      <c r="F17" s="165">
        <f>F10</f>
        <v>1557.1428571428573</v>
      </c>
      <c r="G17" s="17"/>
      <c r="H17" s="162">
        <f>H12</f>
        <v>-10710</v>
      </c>
      <c r="I17" s="169" t="s">
        <v>31</v>
      </c>
      <c r="J17" s="163">
        <f>E10+E11+E17</f>
        <v>20943.571428571431</v>
      </c>
      <c r="K17" s="17"/>
    </row>
    <row r="18" spans="2:11" x14ac:dyDescent="0.3">
      <c r="B18" s="5"/>
      <c r="C18" s="5"/>
      <c r="D18" s="5"/>
      <c r="E18" s="5"/>
      <c r="F18" s="5"/>
      <c r="G18" s="13"/>
      <c r="H18" s="5"/>
      <c r="I18" s="5"/>
      <c r="J18" s="5"/>
      <c r="K18" s="17"/>
    </row>
    <row r="19" spans="2:11" x14ac:dyDescent="0.3">
      <c r="G19" s="13"/>
      <c r="K19" s="17"/>
    </row>
  </sheetData>
  <hyperlinks>
    <hyperlink ref="A2" r:id="rId1"/>
  </hyperlinks>
  <pageMargins left="0.25" right="0.25" top="0.75" bottom="0.75" header="0.3" footer="0.3"/>
  <pageSetup paperSize="9" orientation="landscape"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61"/>
  <sheetViews>
    <sheetView zoomScale="50" zoomScaleNormal="50" workbookViewId="0">
      <selection activeCell="P55" sqref="P55"/>
    </sheetView>
  </sheetViews>
  <sheetFormatPr baseColWidth="10" defaultRowHeight="14.4" x14ac:dyDescent="0.3"/>
  <cols>
    <col min="1" max="1" width="4.21875" customWidth="1"/>
    <col min="4" max="4" width="11.5546875" customWidth="1"/>
    <col min="6" max="6" width="9.5546875" customWidth="1"/>
    <col min="7" max="7" width="24.109375" customWidth="1"/>
    <col min="8" max="8" width="8.6640625" customWidth="1"/>
    <col min="9" max="9" width="15.21875" customWidth="1"/>
    <col min="10" max="10" width="17" customWidth="1"/>
    <col min="11" max="11" width="19.44140625" customWidth="1"/>
    <col min="12" max="12" width="9.109375" customWidth="1"/>
    <col min="13" max="13" width="20.21875" customWidth="1"/>
    <col min="14" max="16" width="17.6640625" customWidth="1"/>
    <col min="17" max="17" width="3.44140625" customWidth="1"/>
    <col min="18" max="18" width="6" customWidth="1"/>
    <col min="19" max="19" width="8.21875" style="1" customWidth="1"/>
    <col min="20" max="20" width="22.88671875" customWidth="1"/>
    <col min="21" max="22" width="20.33203125" customWidth="1"/>
    <col min="23" max="23" width="17" customWidth="1"/>
    <col min="36" max="36" width="11.5546875" style="13" customWidth="1"/>
  </cols>
  <sheetData>
    <row r="1" spans="6:34" ht="18" customHeight="1" x14ac:dyDescent="0.4">
      <c r="F1" s="204" t="s">
        <v>3</v>
      </c>
      <c r="M1" s="113" t="s">
        <v>95</v>
      </c>
      <c r="N1" s="114"/>
      <c r="O1" s="93"/>
      <c r="P1" s="5"/>
      <c r="R1" s="75"/>
      <c r="T1" s="110" t="s">
        <v>96</v>
      </c>
      <c r="U1" s="111"/>
      <c r="V1" s="112"/>
      <c r="W1" s="112"/>
      <c r="AH1" s="75"/>
    </row>
    <row r="2" spans="6:34" ht="18" customHeight="1" x14ac:dyDescent="0.3">
      <c r="R2" s="75"/>
      <c r="AH2" s="75"/>
    </row>
    <row r="3" spans="6:34" ht="18" customHeight="1" x14ac:dyDescent="0.3">
      <c r="R3" s="75"/>
      <c r="U3" s="19"/>
      <c r="V3" s="18" t="s">
        <v>13</v>
      </c>
      <c r="W3" s="18" t="s">
        <v>13</v>
      </c>
      <c r="AH3" s="75"/>
    </row>
    <row r="4" spans="6:34" ht="18" customHeight="1" x14ac:dyDescent="0.3">
      <c r="R4" s="75"/>
      <c r="S4" s="6" t="s">
        <v>49</v>
      </c>
      <c r="T4" s="98" t="s">
        <v>46</v>
      </c>
      <c r="U4" s="98" t="s">
        <v>18</v>
      </c>
      <c r="V4" s="90" t="s">
        <v>45</v>
      </c>
      <c r="W4" s="90" t="s">
        <v>19</v>
      </c>
      <c r="AH4" s="75"/>
    </row>
    <row r="5" spans="6:34" ht="18" customHeight="1" x14ac:dyDescent="0.3">
      <c r="R5" s="75"/>
      <c r="S5" s="115">
        <v>1</v>
      </c>
      <c r="T5" s="6">
        <v>-185</v>
      </c>
      <c r="U5" s="6">
        <v>28</v>
      </c>
      <c r="V5" s="91">
        <f>T5*20</f>
        <v>-3700</v>
      </c>
      <c r="W5" s="91">
        <f>U5*20</f>
        <v>560</v>
      </c>
      <c r="AH5" s="75"/>
    </row>
    <row r="6" spans="6:34" ht="18" customHeight="1" x14ac:dyDescent="0.3">
      <c r="M6" s="254" t="s">
        <v>200</v>
      </c>
      <c r="N6" s="254"/>
      <c r="O6" s="254"/>
      <c r="P6" s="254"/>
      <c r="R6" s="75"/>
      <c r="S6" s="115">
        <v>2</v>
      </c>
      <c r="T6" s="6">
        <v>-191</v>
      </c>
      <c r="U6" s="6">
        <v>21</v>
      </c>
      <c r="V6" s="91">
        <f t="shared" ref="V6:V24" si="0">T6*20</f>
        <v>-3820</v>
      </c>
      <c r="W6" s="91">
        <f t="shared" ref="W6:W24" si="1">U6*20</f>
        <v>420</v>
      </c>
      <c r="AH6" s="75"/>
    </row>
    <row r="7" spans="6:34" ht="18" customHeight="1" x14ac:dyDescent="0.3">
      <c r="R7" s="75"/>
      <c r="S7" s="115">
        <v>3</v>
      </c>
      <c r="T7" s="6">
        <v>-200</v>
      </c>
      <c r="U7" s="6">
        <v>6</v>
      </c>
      <c r="V7" s="91">
        <f t="shared" si="0"/>
        <v>-4000</v>
      </c>
      <c r="W7" s="91">
        <f t="shared" si="1"/>
        <v>120</v>
      </c>
      <c r="AH7" s="75"/>
    </row>
    <row r="8" spans="6:34" ht="18" customHeight="1" x14ac:dyDescent="0.3">
      <c r="L8" s="19"/>
      <c r="N8" s="19"/>
      <c r="O8" s="18" t="s">
        <v>13</v>
      </c>
      <c r="P8" s="18" t="s">
        <v>13</v>
      </c>
      <c r="R8" s="75"/>
      <c r="S8" s="115">
        <v>4</v>
      </c>
      <c r="T8" s="6">
        <v>-240</v>
      </c>
      <c r="U8" s="6">
        <v>18</v>
      </c>
      <c r="V8" s="91">
        <f t="shared" si="0"/>
        <v>-4800</v>
      </c>
      <c r="W8" s="91">
        <f t="shared" si="1"/>
        <v>360</v>
      </c>
      <c r="AH8" s="75"/>
    </row>
    <row r="9" spans="6:34" ht="18" customHeight="1" x14ac:dyDescent="0.3">
      <c r="L9" s="98" t="s">
        <v>50</v>
      </c>
      <c r="M9" s="98" t="s">
        <v>46</v>
      </c>
      <c r="N9" s="98" t="s">
        <v>18</v>
      </c>
      <c r="O9" s="99" t="s">
        <v>47</v>
      </c>
      <c r="P9" s="99" t="s">
        <v>19</v>
      </c>
      <c r="R9" s="75"/>
      <c r="S9" s="115">
        <v>5</v>
      </c>
      <c r="T9" s="6">
        <v>-244</v>
      </c>
      <c r="U9" s="6">
        <v>53</v>
      </c>
      <c r="V9" s="91">
        <f t="shared" si="0"/>
        <v>-4880</v>
      </c>
      <c r="W9" s="91">
        <f t="shared" si="1"/>
        <v>1060</v>
      </c>
      <c r="AH9" s="75"/>
    </row>
    <row r="10" spans="6:34" ht="18" customHeight="1" x14ac:dyDescent="0.3">
      <c r="L10" s="115">
        <v>1</v>
      </c>
      <c r="M10" s="98">
        <v>-69</v>
      </c>
      <c r="N10" s="98">
        <v>18</v>
      </c>
      <c r="O10" s="126">
        <f t="shared" ref="O10:P20" si="2">M10*20</f>
        <v>-1380</v>
      </c>
      <c r="P10" s="100">
        <f t="shared" si="2"/>
        <v>360</v>
      </c>
      <c r="R10" s="75"/>
      <c r="S10" s="115">
        <v>6</v>
      </c>
      <c r="T10" s="6">
        <v>-245</v>
      </c>
      <c r="U10" s="6">
        <v>28</v>
      </c>
      <c r="V10" s="91">
        <f t="shared" si="0"/>
        <v>-4900</v>
      </c>
      <c r="W10" s="91">
        <f t="shared" si="1"/>
        <v>560</v>
      </c>
      <c r="AH10" s="75"/>
    </row>
    <row r="11" spans="6:34" ht="18" customHeight="1" x14ac:dyDescent="0.3">
      <c r="K11" s="298" t="s">
        <v>100</v>
      </c>
      <c r="L11" s="128">
        <v>2</v>
      </c>
      <c r="M11" s="98">
        <v>-211</v>
      </c>
      <c r="N11" s="98">
        <v>75</v>
      </c>
      <c r="O11" s="125">
        <f t="shared" si="2"/>
        <v>-4220</v>
      </c>
      <c r="P11" s="124">
        <f t="shared" si="2"/>
        <v>1500</v>
      </c>
      <c r="R11" s="75"/>
      <c r="S11" s="115">
        <v>7</v>
      </c>
      <c r="T11" s="6">
        <v>-144</v>
      </c>
      <c r="U11" s="6">
        <v>25</v>
      </c>
      <c r="V11" s="91">
        <f t="shared" si="0"/>
        <v>-2880</v>
      </c>
      <c r="W11" s="91">
        <f t="shared" si="1"/>
        <v>500</v>
      </c>
      <c r="AH11" s="75"/>
    </row>
    <row r="12" spans="6:34" ht="18" customHeight="1" x14ac:dyDescent="0.3">
      <c r="L12" s="115">
        <v>3</v>
      </c>
      <c r="M12" s="98">
        <v>-83</v>
      </c>
      <c r="N12" s="98">
        <v>91</v>
      </c>
      <c r="O12" s="126">
        <f t="shared" si="2"/>
        <v>-1660</v>
      </c>
      <c r="P12" s="101">
        <f t="shared" si="2"/>
        <v>1820</v>
      </c>
      <c r="R12" s="75"/>
      <c r="S12" s="115">
        <v>8</v>
      </c>
      <c r="T12" s="6">
        <v>-248</v>
      </c>
      <c r="U12" s="6">
        <v>43</v>
      </c>
      <c r="V12" s="92">
        <f t="shared" si="0"/>
        <v>-4960</v>
      </c>
      <c r="W12" s="91">
        <f t="shared" si="1"/>
        <v>860</v>
      </c>
      <c r="AH12" s="75"/>
    </row>
    <row r="13" spans="6:34" ht="18" customHeight="1" x14ac:dyDescent="0.3">
      <c r="L13" s="128">
        <v>4</v>
      </c>
      <c r="M13" s="98">
        <v>-78</v>
      </c>
      <c r="N13" s="98">
        <v>5</v>
      </c>
      <c r="O13" s="124">
        <f t="shared" si="2"/>
        <v>-1560</v>
      </c>
      <c r="P13" s="129">
        <f t="shared" si="2"/>
        <v>100</v>
      </c>
      <c r="R13" s="75"/>
      <c r="S13" s="115">
        <v>9</v>
      </c>
      <c r="T13" s="6">
        <v>-154</v>
      </c>
      <c r="U13" s="6">
        <v>51</v>
      </c>
      <c r="V13" s="91">
        <f t="shared" si="0"/>
        <v>-3080</v>
      </c>
      <c r="W13" s="91">
        <f t="shared" si="1"/>
        <v>1020</v>
      </c>
      <c r="AH13" s="75"/>
    </row>
    <row r="14" spans="6:34" ht="18" customHeight="1" x14ac:dyDescent="0.3">
      <c r="L14" s="115">
        <v>5</v>
      </c>
      <c r="M14" s="98">
        <v>-87</v>
      </c>
      <c r="N14" s="98">
        <v>43</v>
      </c>
      <c r="O14" s="100">
        <f t="shared" si="2"/>
        <v>-1740</v>
      </c>
      <c r="P14" s="100">
        <f t="shared" si="2"/>
        <v>860</v>
      </c>
      <c r="R14" s="75"/>
      <c r="S14" s="115">
        <v>10</v>
      </c>
      <c r="T14" s="6">
        <v>-201</v>
      </c>
      <c r="U14" s="6">
        <v>19</v>
      </c>
      <c r="V14" s="91">
        <f t="shared" si="0"/>
        <v>-4020</v>
      </c>
      <c r="W14" s="91">
        <f t="shared" si="1"/>
        <v>380</v>
      </c>
      <c r="AH14" s="75"/>
    </row>
    <row r="15" spans="6:34" ht="18" customHeight="1" x14ac:dyDescent="0.3">
      <c r="K15" s="2" t="s">
        <v>101</v>
      </c>
      <c r="L15" s="128">
        <v>6</v>
      </c>
      <c r="M15" s="98">
        <v>-198</v>
      </c>
      <c r="N15" s="98">
        <v>22</v>
      </c>
      <c r="O15" s="125">
        <f t="shared" si="2"/>
        <v>-3960</v>
      </c>
      <c r="P15" s="130">
        <f t="shared" si="2"/>
        <v>440</v>
      </c>
      <c r="R15" s="75"/>
      <c r="S15" s="115">
        <v>11</v>
      </c>
      <c r="T15" s="6">
        <v>-221</v>
      </c>
      <c r="U15" s="6">
        <v>28</v>
      </c>
      <c r="V15" s="91">
        <f t="shared" si="0"/>
        <v>-4420</v>
      </c>
      <c r="W15" s="91">
        <f t="shared" si="1"/>
        <v>560</v>
      </c>
      <c r="AH15" s="75"/>
    </row>
    <row r="16" spans="6:34" ht="18" customHeight="1" x14ac:dyDescent="0.3">
      <c r="L16" s="115">
        <v>7</v>
      </c>
      <c r="M16" s="98">
        <v>-144</v>
      </c>
      <c r="N16" s="98">
        <v>58</v>
      </c>
      <c r="O16" s="100">
        <f t="shared" si="2"/>
        <v>-2880</v>
      </c>
      <c r="P16" s="100">
        <f t="shared" si="2"/>
        <v>1160</v>
      </c>
      <c r="R16" s="75"/>
      <c r="S16" s="115">
        <v>12</v>
      </c>
      <c r="T16" s="6">
        <v>-7</v>
      </c>
      <c r="U16" s="6">
        <v>3</v>
      </c>
      <c r="V16" s="92">
        <f t="shared" si="0"/>
        <v>-140</v>
      </c>
      <c r="W16" s="92">
        <f t="shared" si="1"/>
        <v>60</v>
      </c>
      <c r="AH16" s="75"/>
    </row>
    <row r="17" spans="1:34" ht="18" customHeight="1" x14ac:dyDescent="0.3">
      <c r="L17" s="128">
        <v>8</v>
      </c>
      <c r="M17" s="98">
        <v>-220</v>
      </c>
      <c r="N17" s="98">
        <v>89</v>
      </c>
      <c r="O17" s="127">
        <f t="shared" si="2"/>
        <v>-4400</v>
      </c>
      <c r="P17" s="124">
        <f t="shared" si="2"/>
        <v>1780</v>
      </c>
      <c r="R17" s="75"/>
      <c r="S17" s="115">
        <v>13</v>
      </c>
      <c r="T17" s="6">
        <v>-171</v>
      </c>
      <c r="U17" s="6">
        <v>4</v>
      </c>
      <c r="V17" s="91">
        <f t="shared" si="0"/>
        <v>-3420</v>
      </c>
      <c r="W17" s="91">
        <f t="shared" si="1"/>
        <v>80</v>
      </c>
      <c r="AH17" s="75"/>
    </row>
    <row r="18" spans="1:34" ht="18" customHeight="1" x14ac:dyDescent="0.3">
      <c r="L18" s="115">
        <v>9</v>
      </c>
      <c r="M18" s="98">
        <v>-78</v>
      </c>
      <c r="N18" s="98">
        <v>37</v>
      </c>
      <c r="O18" s="101">
        <f t="shared" si="2"/>
        <v>-1560</v>
      </c>
      <c r="P18" s="100">
        <f t="shared" si="2"/>
        <v>740</v>
      </c>
      <c r="R18" s="75"/>
      <c r="S18" s="115">
        <v>14</v>
      </c>
      <c r="T18" s="6">
        <v>-195</v>
      </c>
      <c r="U18" s="6">
        <v>30</v>
      </c>
      <c r="V18" s="91">
        <f t="shared" si="0"/>
        <v>-3900</v>
      </c>
      <c r="W18" s="91">
        <f t="shared" si="1"/>
        <v>600</v>
      </c>
      <c r="AH18" s="75"/>
    </row>
    <row r="19" spans="1:34" ht="18" customHeight="1" x14ac:dyDescent="0.3">
      <c r="L19" s="115">
        <v>10</v>
      </c>
      <c r="M19" s="98">
        <v>-109</v>
      </c>
      <c r="N19" s="98">
        <v>48</v>
      </c>
      <c r="O19" s="100">
        <f t="shared" si="2"/>
        <v>-2180</v>
      </c>
      <c r="P19" s="100">
        <f t="shared" si="2"/>
        <v>960</v>
      </c>
      <c r="R19" s="75"/>
      <c r="S19" s="115">
        <v>15</v>
      </c>
      <c r="T19" s="6">
        <v>-104</v>
      </c>
      <c r="U19" s="6">
        <v>23</v>
      </c>
      <c r="V19" s="91">
        <f t="shared" si="0"/>
        <v>-2080</v>
      </c>
      <c r="W19" s="91">
        <f t="shared" si="1"/>
        <v>460</v>
      </c>
      <c r="AH19" s="75"/>
    </row>
    <row r="20" spans="1:34" ht="18" customHeight="1" x14ac:dyDescent="0.3">
      <c r="L20" s="128">
        <v>11</v>
      </c>
      <c r="M20" s="98">
        <v>-184</v>
      </c>
      <c r="N20" s="98">
        <v>73</v>
      </c>
      <c r="O20" s="124">
        <f t="shared" si="2"/>
        <v>-3680</v>
      </c>
      <c r="P20" s="124">
        <f t="shared" si="2"/>
        <v>1460</v>
      </c>
      <c r="R20" s="75"/>
      <c r="S20" s="115">
        <v>16</v>
      </c>
      <c r="T20" s="6">
        <v>-159</v>
      </c>
      <c r="U20" s="6">
        <v>11</v>
      </c>
      <c r="V20" s="91">
        <f t="shared" si="0"/>
        <v>-3180</v>
      </c>
      <c r="W20" s="91">
        <f t="shared" si="1"/>
        <v>220</v>
      </c>
      <c r="AH20" s="75"/>
    </row>
    <row r="21" spans="1:34" ht="18" customHeight="1" x14ac:dyDescent="0.3">
      <c r="A21" s="94"/>
      <c r="B21" s="94"/>
      <c r="C21" s="94"/>
      <c r="D21" s="94"/>
      <c r="E21" s="94"/>
      <c r="F21" s="94"/>
      <c r="G21" s="94"/>
      <c r="H21" s="94"/>
      <c r="I21" s="94"/>
      <c r="J21" s="94"/>
      <c r="K21" s="94"/>
      <c r="L21" s="95" t="s">
        <v>20</v>
      </c>
      <c r="M21" s="96">
        <f>AVERAGE(M10:M20)</f>
        <v>-132.81818181818181</v>
      </c>
      <c r="N21" s="96">
        <f>AVERAGE(N10:N20)</f>
        <v>50.81818181818182</v>
      </c>
      <c r="O21" s="96">
        <f>AVERAGE(O10:O20)</f>
        <v>-2656.3636363636365</v>
      </c>
      <c r="P21" s="96">
        <f>AVERAGE(P10:P20)</f>
        <v>1016.3636363636364</v>
      </c>
      <c r="R21" s="75"/>
      <c r="S21" s="115">
        <v>17</v>
      </c>
      <c r="T21" s="6">
        <v>-136</v>
      </c>
      <c r="U21" s="6">
        <v>18</v>
      </c>
      <c r="V21" s="91">
        <f t="shared" si="0"/>
        <v>-2720</v>
      </c>
      <c r="W21" s="91">
        <f t="shared" si="1"/>
        <v>360</v>
      </c>
      <c r="AH21" s="75"/>
    </row>
    <row r="22" spans="1:34" ht="18" customHeight="1" x14ac:dyDescent="0.3">
      <c r="R22" s="75"/>
      <c r="S22" s="115">
        <v>18</v>
      </c>
      <c r="T22" s="6">
        <v>-178</v>
      </c>
      <c r="U22" s="6">
        <v>78</v>
      </c>
      <c r="V22" s="91">
        <f t="shared" si="0"/>
        <v>-3560</v>
      </c>
      <c r="W22" s="92">
        <f t="shared" si="1"/>
        <v>1560</v>
      </c>
      <c r="AH22" s="75"/>
    </row>
    <row r="23" spans="1:34" ht="18" customHeight="1" x14ac:dyDescent="0.3">
      <c r="L23" s="116">
        <v>12</v>
      </c>
      <c r="M23" s="98">
        <v>-110</v>
      </c>
      <c r="N23" s="98">
        <v>89</v>
      </c>
      <c r="O23" s="100">
        <f t="shared" ref="O23:P27" si="3">M23*20</f>
        <v>-2200</v>
      </c>
      <c r="P23" s="100">
        <f t="shared" si="3"/>
        <v>1780</v>
      </c>
      <c r="R23" s="75"/>
      <c r="S23" s="115">
        <v>19</v>
      </c>
      <c r="T23" s="6">
        <v>-139</v>
      </c>
      <c r="U23" s="6">
        <v>68</v>
      </c>
      <c r="V23" s="91">
        <f t="shared" si="0"/>
        <v>-2780</v>
      </c>
      <c r="W23" s="91">
        <f t="shared" si="1"/>
        <v>1360</v>
      </c>
      <c r="AH23" s="75"/>
    </row>
    <row r="24" spans="1:34" ht="18" customHeight="1" x14ac:dyDescent="0.3">
      <c r="L24" s="116">
        <v>13</v>
      </c>
      <c r="M24" s="98">
        <v>-90</v>
      </c>
      <c r="N24" s="98">
        <v>44</v>
      </c>
      <c r="O24" s="100">
        <f t="shared" si="3"/>
        <v>-1800</v>
      </c>
      <c r="P24" s="100">
        <f t="shared" si="3"/>
        <v>880</v>
      </c>
      <c r="R24" s="75"/>
      <c r="S24" s="115">
        <v>20</v>
      </c>
      <c r="T24" s="6">
        <v>-269</v>
      </c>
      <c r="U24" s="6">
        <v>33</v>
      </c>
      <c r="V24" s="91">
        <f t="shared" si="0"/>
        <v>-5380</v>
      </c>
      <c r="W24" s="91">
        <f t="shared" si="1"/>
        <v>660</v>
      </c>
      <c r="AH24" s="75"/>
    </row>
    <row r="25" spans="1:34" ht="18" customHeight="1" x14ac:dyDescent="0.3">
      <c r="L25" s="116">
        <v>14</v>
      </c>
      <c r="M25" s="98">
        <v>21</v>
      </c>
      <c r="N25" s="98">
        <v>76</v>
      </c>
      <c r="O25" s="100">
        <f t="shared" si="3"/>
        <v>420</v>
      </c>
      <c r="P25" s="100">
        <f t="shared" si="3"/>
        <v>1520</v>
      </c>
      <c r="R25" s="75"/>
      <c r="S25" s="104" t="s">
        <v>20</v>
      </c>
      <c r="T25" s="103">
        <f>AVERAGE(T5:T24)</f>
        <v>-181.55</v>
      </c>
      <c r="U25" s="103">
        <f>AVERAGE(U5:U24)</f>
        <v>29.4</v>
      </c>
      <c r="V25" s="103">
        <f>AVERAGE(V5:V24)</f>
        <v>-3631</v>
      </c>
      <c r="W25" s="103">
        <f>AVERAGE(W5:W24)</f>
        <v>588</v>
      </c>
      <c r="X25" s="97"/>
      <c r="Y25" s="97"/>
      <c r="Z25" s="97"/>
      <c r="AA25" s="97"/>
      <c r="AB25" s="97"/>
      <c r="AC25" s="97"/>
      <c r="AD25" s="97"/>
      <c r="AE25" s="97"/>
      <c r="AF25" s="97"/>
      <c r="AG25" s="97"/>
      <c r="AH25" s="75"/>
    </row>
    <row r="26" spans="1:34" ht="18" customHeight="1" x14ac:dyDescent="0.3">
      <c r="L26" s="116">
        <v>15</v>
      </c>
      <c r="M26" s="98">
        <v>-71</v>
      </c>
      <c r="N26" s="98">
        <v>53</v>
      </c>
      <c r="O26" s="100">
        <f t="shared" si="3"/>
        <v>-1420</v>
      </c>
      <c r="P26" s="100">
        <f t="shared" si="3"/>
        <v>1060</v>
      </c>
      <c r="R26" s="75"/>
      <c r="AH26" s="75"/>
    </row>
    <row r="27" spans="1:34" ht="18" customHeight="1" x14ac:dyDescent="0.3">
      <c r="L27" s="116">
        <v>16</v>
      </c>
      <c r="M27" s="98">
        <v>-82</v>
      </c>
      <c r="N27" s="98">
        <v>29</v>
      </c>
      <c r="O27" s="100">
        <f t="shared" si="3"/>
        <v>-1640</v>
      </c>
      <c r="P27" s="100">
        <f t="shared" si="3"/>
        <v>580</v>
      </c>
      <c r="R27" s="75"/>
      <c r="S27" s="116">
        <v>21</v>
      </c>
      <c r="T27" s="6">
        <v>-154</v>
      </c>
      <c r="U27" s="6">
        <v>51</v>
      </c>
      <c r="V27" s="91">
        <f>T27*20</f>
        <v>-3080</v>
      </c>
      <c r="W27" s="91">
        <f>U27*20</f>
        <v>1020</v>
      </c>
      <c r="AH27" s="75"/>
    </row>
    <row r="28" spans="1:34" ht="18" customHeight="1" x14ac:dyDescent="0.3">
      <c r="L28" s="116">
        <v>17</v>
      </c>
      <c r="M28" s="98">
        <v>-31</v>
      </c>
      <c r="N28" s="98">
        <v>12</v>
      </c>
      <c r="O28" s="100">
        <f t="shared" ref="O28:P38" si="4">M28*20</f>
        <v>-620</v>
      </c>
      <c r="P28" s="102">
        <f t="shared" si="4"/>
        <v>240</v>
      </c>
      <c r="R28" s="75"/>
      <c r="S28" s="116">
        <v>22</v>
      </c>
      <c r="T28" s="6">
        <v>-212</v>
      </c>
      <c r="U28" s="6">
        <v>27</v>
      </c>
      <c r="V28" s="91">
        <f t="shared" ref="V28:W47" si="5">T28*20</f>
        <v>-4240</v>
      </c>
      <c r="W28" s="91">
        <f t="shared" si="5"/>
        <v>540</v>
      </c>
      <c r="AH28" s="75"/>
    </row>
    <row r="29" spans="1:34" ht="18" customHeight="1" x14ac:dyDescent="0.3">
      <c r="L29" s="116">
        <v>18</v>
      </c>
      <c r="M29" s="98">
        <v>-100</v>
      </c>
      <c r="N29" s="98" t="s">
        <v>42</v>
      </c>
      <c r="O29" s="100">
        <f t="shared" si="4"/>
        <v>-2000</v>
      </c>
      <c r="P29" s="100" t="s">
        <v>42</v>
      </c>
      <c r="R29" s="75"/>
      <c r="S29" s="116">
        <v>23</v>
      </c>
      <c r="T29" s="6">
        <v>-198</v>
      </c>
      <c r="U29" s="6">
        <v>23</v>
      </c>
      <c r="V29" s="91">
        <f t="shared" si="5"/>
        <v>-3960</v>
      </c>
      <c r="W29" s="91">
        <f t="shared" si="5"/>
        <v>460</v>
      </c>
      <c r="AH29" s="75"/>
    </row>
    <row r="30" spans="1:34" ht="18" customHeight="1" x14ac:dyDescent="0.3">
      <c r="L30" s="116">
        <v>19</v>
      </c>
      <c r="M30" s="98">
        <v>-150</v>
      </c>
      <c r="N30" s="98">
        <v>73</v>
      </c>
      <c r="O30" s="101">
        <f t="shared" si="4"/>
        <v>-3000</v>
      </c>
      <c r="P30" s="100">
        <f t="shared" si="4"/>
        <v>1460</v>
      </c>
      <c r="R30" s="75"/>
      <c r="S30" s="116">
        <v>24</v>
      </c>
      <c r="T30" s="6">
        <v>-142</v>
      </c>
      <c r="U30" s="6">
        <v>49</v>
      </c>
      <c r="V30" s="91">
        <f t="shared" si="5"/>
        <v>-2840</v>
      </c>
      <c r="W30" s="91">
        <f t="shared" si="5"/>
        <v>980</v>
      </c>
      <c r="AH30" s="75"/>
    </row>
    <row r="31" spans="1:34" ht="18" customHeight="1" x14ac:dyDescent="0.3">
      <c r="L31" s="116">
        <v>20</v>
      </c>
      <c r="M31" s="98">
        <v>-112</v>
      </c>
      <c r="N31" s="98">
        <v>91</v>
      </c>
      <c r="O31" s="100">
        <f t="shared" si="4"/>
        <v>-2240</v>
      </c>
      <c r="P31" s="100">
        <f t="shared" si="4"/>
        <v>1820</v>
      </c>
      <c r="R31" s="75"/>
      <c r="S31" s="116">
        <v>25</v>
      </c>
      <c r="T31" s="6">
        <v>-237</v>
      </c>
      <c r="U31" s="6">
        <v>20</v>
      </c>
      <c r="V31" s="91">
        <f t="shared" si="5"/>
        <v>-4740</v>
      </c>
      <c r="W31" s="91">
        <f t="shared" si="5"/>
        <v>400</v>
      </c>
      <c r="AH31" s="75"/>
    </row>
    <row r="32" spans="1:34" ht="18" customHeight="1" x14ac:dyDescent="0.3">
      <c r="L32" s="116">
        <v>21</v>
      </c>
      <c r="M32" s="98">
        <v>-196</v>
      </c>
      <c r="N32" s="98">
        <v>92</v>
      </c>
      <c r="O32" s="100">
        <f t="shared" si="4"/>
        <v>-3920</v>
      </c>
      <c r="P32" s="102">
        <f t="shared" si="4"/>
        <v>1840</v>
      </c>
      <c r="R32" s="75"/>
      <c r="S32" s="116">
        <v>26</v>
      </c>
      <c r="T32" s="6">
        <v>-97</v>
      </c>
      <c r="U32" s="6">
        <v>47</v>
      </c>
      <c r="V32" s="91">
        <f t="shared" si="5"/>
        <v>-1940</v>
      </c>
      <c r="W32" s="91">
        <f t="shared" si="5"/>
        <v>940</v>
      </c>
      <c r="AH32" s="75"/>
    </row>
    <row r="33" spans="12:34" ht="18" customHeight="1" x14ac:dyDescent="0.3">
      <c r="L33" s="116">
        <v>22</v>
      </c>
      <c r="M33" s="98">
        <v>-40</v>
      </c>
      <c r="N33" s="98">
        <v>36</v>
      </c>
      <c r="O33" s="100">
        <f t="shared" si="4"/>
        <v>-800</v>
      </c>
      <c r="P33" s="100">
        <f t="shared" si="4"/>
        <v>720</v>
      </c>
      <c r="R33" s="75"/>
      <c r="S33" s="116">
        <v>27</v>
      </c>
      <c r="T33" s="6">
        <v>-156</v>
      </c>
      <c r="U33" s="6">
        <v>44</v>
      </c>
      <c r="V33" s="91">
        <f t="shared" si="5"/>
        <v>-3120</v>
      </c>
      <c r="W33" s="91">
        <f t="shared" si="5"/>
        <v>880</v>
      </c>
      <c r="AH33" s="75"/>
    </row>
    <row r="34" spans="12:34" ht="18" customHeight="1" x14ac:dyDescent="0.3">
      <c r="L34" s="116">
        <v>23</v>
      </c>
      <c r="M34" s="98">
        <v>-139</v>
      </c>
      <c r="N34" s="98">
        <v>73</v>
      </c>
      <c r="O34" s="100">
        <f t="shared" si="4"/>
        <v>-2780</v>
      </c>
      <c r="P34" s="100">
        <f t="shared" si="4"/>
        <v>1460</v>
      </c>
      <c r="R34" s="75"/>
      <c r="S34" s="116">
        <v>28</v>
      </c>
      <c r="T34" s="6">
        <v>-264</v>
      </c>
      <c r="U34" s="6">
        <v>39</v>
      </c>
      <c r="V34" s="91">
        <f t="shared" si="5"/>
        <v>-5280</v>
      </c>
      <c r="W34" s="91">
        <f t="shared" si="5"/>
        <v>780</v>
      </c>
      <c r="AH34" s="75"/>
    </row>
    <row r="35" spans="12:34" ht="18" customHeight="1" x14ac:dyDescent="0.3">
      <c r="L35" s="116">
        <v>24</v>
      </c>
      <c r="M35" s="98">
        <v>-31</v>
      </c>
      <c r="N35" s="98">
        <v>52</v>
      </c>
      <c r="O35" s="100">
        <f t="shared" si="4"/>
        <v>-620</v>
      </c>
      <c r="P35" s="100">
        <f t="shared" si="4"/>
        <v>1040</v>
      </c>
      <c r="R35" s="75"/>
      <c r="S35" s="116">
        <v>29</v>
      </c>
      <c r="T35" s="6">
        <v>-179</v>
      </c>
      <c r="U35" s="6">
        <v>25</v>
      </c>
      <c r="V35" s="91">
        <f t="shared" si="5"/>
        <v>-3580</v>
      </c>
      <c r="W35" s="91">
        <f t="shared" si="5"/>
        <v>500</v>
      </c>
      <c r="AH35" s="75"/>
    </row>
    <row r="36" spans="12:34" ht="18" customHeight="1" x14ac:dyDescent="0.3">
      <c r="L36" s="116">
        <v>25</v>
      </c>
      <c r="M36" s="98">
        <v>27</v>
      </c>
      <c r="N36" s="98">
        <v>29</v>
      </c>
      <c r="O36" s="102">
        <f t="shared" si="4"/>
        <v>540</v>
      </c>
      <c r="P36" s="100">
        <f t="shared" si="4"/>
        <v>580</v>
      </c>
      <c r="R36" s="75"/>
      <c r="S36" s="116">
        <v>30</v>
      </c>
      <c r="T36" s="6">
        <v>-219</v>
      </c>
      <c r="U36" s="6">
        <v>21</v>
      </c>
      <c r="V36" s="91">
        <f t="shared" si="5"/>
        <v>-4380</v>
      </c>
      <c r="W36" s="91">
        <f t="shared" si="5"/>
        <v>420</v>
      </c>
      <c r="AH36" s="75"/>
    </row>
    <row r="37" spans="12:34" ht="18" customHeight="1" x14ac:dyDescent="0.3">
      <c r="L37" s="116">
        <v>26</v>
      </c>
      <c r="M37" s="98">
        <v>-26</v>
      </c>
      <c r="N37" s="98">
        <v>37</v>
      </c>
      <c r="O37" s="100">
        <f t="shared" si="4"/>
        <v>-520</v>
      </c>
      <c r="P37" s="100">
        <f t="shared" si="4"/>
        <v>740</v>
      </c>
      <c r="R37" s="75"/>
      <c r="S37" s="116">
        <v>31</v>
      </c>
      <c r="T37" s="6">
        <v>-101</v>
      </c>
      <c r="U37" s="6">
        <v>16</v>
      </c>
      <c r="V37" s="91">
        <f t="shared" si="5"/>
        <v>-2020</v>
      </c>
      <c r="W37" s="91">
        <f t="shared" si="5"/>
        <v>320</v>
      </c>
      <c r="AH37" s="75"/>
    </row>
    <row r="38" spans="12:34" ht="18" customHeight="1" x14ac:dyDescent="0.3">
      <c r="L38" s="116">
        <v>27</v>
      </c>
      <c r="M38" s="98">
        <v>-60</v>
      </c>
      <c r="N38" s="98">
        <v>76</v>
      </c>
      <c r="O38" s="100">
        <f t="shared" si="4"/>
        <v>-1200</v>
      </c>
      <c r="P38" s="100">
        <f t="shared" si="4"/>
        <v>1520</v>
      </c>
      <c r="R38" s="75"/>
      <c r="S38" s="116">
        <v>32</v>
      </c>
      <c r="T38" s="6">
        <v>-129</v>
      </c>
      <c r="U38" s="6">
        <v>15</v>
      </c>
      <c r="V38" s="91">
        <f t="shared" si="5"/>
        <v>-2580</v>
      </c>
      <c r="W38" s="91">
        <f t="shared" si="5"/>
        <v>300</v>
      </c>
      <c r="AH38" s="75"/>
    </row>
    <row r="39" spans="12:34" ht="18" customHeight="1" x14ac:dyDescent="0.3">
      <c r="L39" s="106" t="s">
        <v>20</v>
      </c>
      <c r="M39" s="107">
        <f>AVERAGE(M24:M38)</f>
        <v>-72</v>
      </c>
      <c r="N39" s="108">
        <f>AVERAGE(N24:N38)</f>
        <v>55.214285714285715</v>
      </c>
      <c r="O39" s="108">
        <f>AVERAGE(O23:O38)</f>
        <v>-1487.5</v>
      </c>
      <c r="P39" s="108">
        <f>AVERAGE(P23:P38)</f>
        <v>1149.3333333333333</v>
      </c>
      <c r="R39" s="75"/>
      <c r="S39" s="116">
        <v>33</v>
      </c>
      <c r="T39" s="6">
        <v>-83</v>
      </c>
      <c r="U39" s="6">
        <v>28</v>
      </c>
      <c r="V39" s="91">
        <f t="shared" si="5"/>
        <v>-1660</v>
      </c>
      <c r="W39" s="91">
        <f t="shared" si="5"/>
        <v>560</v>
      </c>
      <c r="AH39" s="75"/>
    </row>
    <row r="40" spans="12:34" ht="18" customHeight="1" x14ac:dyDescent="0.3">
      <c r="R40" s="75"/>
      <c r="S40" s="116">
        <v>34</v>
      </c>
      <c r="T40" s="6">
        <v>-127</v>
      </c>
      <c r="U40" s="6">
        <v>28</v>
      </c>
      <c r="V40" s="91">
        <f t="shared" si="5"/>
        <v>-2540</v>
      </c>
      <c r="W40" s="91">
        <f t="shared" si="5"/>
        <v>560</v>
      </c>
      <c r="AH40" s="75"/>
    </row>
    <row r="41" spans="12:34" ht="18" customHeight="1" x14ac:dyDescent="0.3">
      <c r="O41">
        <f>SUM(O10:O20)</f>
        <v>-29220</v>
      </c>
      <c r="P41">
        <f>SUM(P10:P20)</f>
        <v>11180</v>
      </c>
      <c r="R41" s="75"/>
      <c r="S41" s="116">
        <v>35</v>
      </c>
      <c r="T41" s="6">
        <v>-205</v>
      </c>
      <c r="U41" s="6">
        <v>38</v>
      </c>
      <c r="V41" s="91">
        <f t="shared" si="5"/>
        <v>-4100</v>
      </c>
      <c r="W41" s="91">
        <f t="shared" si="5"/>
        <v>760</v>
      </c>
      <c r="AH41" s="75"/>
    </row>
    <row r="42" spans="12:34" ht="18" customHeight="1" x14ac:dyDescent="0.3">
      <c r="N42">
        <v>-4960</v>
      </c>
      <c r="O42">
        <f>SUM(O23:O38)</f>
        <v>-23800</v>
      </c>
      <c r="P42">
        <f>SUM(P23:P38)</f>
        <v>17240</v>
      </c>
      <c r="R42" s="75"/>
      <c r="S42" s="116">
        <v>36</v>
      </c>
      <c r="T42" s="6">
        <v>-27</v>
      </c>
      <c r="U42" s="6">
        <v>23</v>
      </c>
      <c r="V42" s="91">
        <f t="shared" si="5"/>
        <v>-540</v>
      </c>
      <c r="W42" s="91">
        <f t="shared" si="5"/>
        <v>460</v>
      </c>
      <c r="AH42" s="75"/>
    </row>
    <row r="43" spans="12:34" ht="18" customHeight="1" x14ac:dyDescent="0.3">
      <c r="N43">
        <v>-140</v>
      </c>
      <c r="O43" s="471">
        <f>(O41+O42)/27</f>
        <v>-1963.7037037037037</v>
      </c>
      <c r="P43" s="471">
        <f>(P41+P42)/26</f>
        <v>1093.0769230769231</v>
      </c>
      <c r="R43" s="75"/>
      <c r="S43" s="116">
        <v>37</v>
      </c>
      <c r="T43" s="6">
        <v>-81</v>
      </c>
      <c r="U43" s="6">
        <v>24</v>
      </c>
      <c r="V43" s="91">
        <f t="shared" si="5"/>
        <v>-1620</v>
      </c>
      <c r="W43" s="91">
        <f t="shared" si="5"/>
        <v>480</v>
      </c>
      <c r="AH43" s="75"/>
    </row>
    <row r="44" spans="12:34" ht="18" customHeight="1" x14ac:dyDescent="0.3">
      <c r="R44" s="75"/>
      <c r="S44" s="116">
        <v>38</v>
      </c>
      <c r="T44" s="6">
        <v>-95</v>
      </c>
      <c r="U44" s="6">
        <v>49</v>
      </c>
      <c r="V44" s="91">
        <f t="shared" si="5"/>
        <v>-1900</v>
      </c>
      <c r="W44" s="91">
        <f t="shared" si="5"/>
        <v>980</v>
      </c>
      <c r="AH44" s="75"/>
    </row>
    <row r="45" spans="12:34" ht="18" customHeight="1" x14ac:dyDescent="0.3">
      <c r="R45" s="75"/>
      <c r="S45" s="116">
        <v>39</v>
      </c>
      <c r="T45" s="6">
        <v>-313</v>
      </c>
      <c r="U45" s="6">
        <v>60</v>
      </c>
      <c r="V45" s="92">
        <f t="shared" si="5"/>
        <v>-6260</v>
      </c>
      <c r="W45" s="92">
        <f t="shared" si="5"/>
        <v>1200</v>
      </c>
      <c r="AH45" s="75"/>
    </row>
    <row r="46" spans="12:34" ht="18" customHeight="1" x14ac:dyDescent="0.3">
      <c r="R46" s="75"/>
      <c r="S46" s="116">
        <v>40</v>
      </c>
      <c r="T46" s="6">
        <v>11</v>
      </c>
      <c r="U46" s="6">
        <v>3</v>
      </c>
      <c r="V46" s="92">
        <f t="shared" si="5"/>
        <v>220</v>
      </c>
      <c r="W46" s="92">
        <f t="shared" si="5"/>
        <v>60</v>
      </c>
      <c r="AH46" s="75"/>
    </row>
    <row r="47" spans="12:34" ht="18" customHeight="1" x14ac:dyDescent="0.3">
      <c r="R47" s="75"/>
      <c r="S47" s="116">
        <v>41</v>
      </c>
      <c r="T47" s="6">
        <v>-47</v>
      </c>
      <c r="U47" s="6" t="s">
        <v>42</v>
      </c>
      <c r="V47" s="91">
        <f t="shared" si="5"/>
        <v>-940</v>
      </c>
      <c r="W47" s="91" t="s">
        <v>42</v>
      </c>
      <c r="AH47" s="75"/>
    </row>
    <row r="48" spans="12:34" ht="18" customHeight="1" x14ac:dyDescent="0.3">
      <c r="R48" s="75"/>
      <c r="S48" s="109" t="s">
        <v>48</v>
      </c>
      <c r="T48" s="108">
        <f>AVERAGE(T27:T47)</f>
        <v>-145.47619047619048</v>
      </c>
      <c r="U48" s="108">
        <f>AVERAGE(U27:U47)</f>
        <v>31.5</v>
      </c>
      <c r="V48" s="108">
        <f>AVERAGE(V27:V47)</f>
        <v>-2909.5238095238096</v>
      </c>
      <c r="W48" s="108">
        <f>AVERAGE(W27:W47)</f>
        <v>630</v>
      </c>
      <c r="AH48" s="75"/>
    </row>
    <row r="49" spans="1:34" ht="18" customHeight="1" x14ac:dyDescent="0.3">
      <c r="R49" s="75"/>
      <c r="AH49" s="75"/>
    </row>
    <row r="50" spans="1:34" ht="18" customHeight="1" x14ac:dyDescent="0.3">
      <c r="A50" s="75"/>
      <c r="B50" s="75"/>
      <c r="C50" s="75"/>
      <c r="D50" s="75"/>
      <c r="E50" s="75"/>
      <c r="F50" s="75"/>
      <c r="G50" s="75"/>
      <c r="H50" s="75"/>
      <c r="I50" s="75"/>
      <c r="J50" s="75"/>
      <c r="K50" s="75"/>
      <c r="L50" s="75"/>
      <c r="M50" s="75"/>
      <c r="N50" s="75"/>
      <c r="O50" s="75"/>
      <c r="P50" s="75"/>
      <c r="Q50" s="75"/>
      <c r="R50" s="75"/>
      <c r="S50" s="105"/>
      <c r="T50" s="75"/>
      <c r="U50" s="75"/>
      <c r="V50" s="75"/>
      <c r="W50" s="75"/>
      <c r="X50" s="75"/>
      <c r="Y50" s="75"/>
      <c r="Z50" s="75"/>
      <c r="AA50" s="75"/>
      <c r="AB50" s="75"/>
      <c r="AC50" s="75"/>
      <c r="AD50" s="75"/>
      <c r="AE50" s="75"/>
      <c r="AF50" s="75"/>
      <c r="AG50" s="75"/>
      <c r="AH50" s="75"/>
    </row>
    <row r="51" spans="1:34" ht="15" thickBot="1" x14ac:dyDescent="0.35"/>
    <row r="52" spans="1:34" ht="17.399999999999999" customHeight="1" thickTop="1" x14ac:dyDescent="0.3">
      <c r="G52" s="250" t="s">
        <v>67</v>
      </c>
      <c r="H52" s="251" t="s">
        <v>64</v>
      </c>
      <c r="I52" s="252" t="s">
        <v>69</v>
      </c>
      <c r="J52" s="252" t="s">
        <v>68</v>
      </c>
      <c r="K52" s="253" t="s">
        <v>53</v>
      </c>
    </row>
    <row r="53" spans="1:34" ht="7.8" customHeight="1" thickBot="1" x14ac:dyDescent="0.35">
      <c r="F53" s="13"/>
      <c r="G53" s="13"/>
      <c r="H53" s="57"/>
      <c r="I53" s="57"/>
      <c r="J53" s="57"/>
      <c r="K53" s="13"/>
      <c r="L53" s="13"/>
    </row>
    <row r="54" spans="1:34" ht="17.399999999999999" customHeight="1" x14ac:dyDescent="0.3">
      <c r="F54" s="13"/>
      <c r="G54" s="140" t="s">
        <v>72</v>
      </c>
      <c r="H54" s="134" t="s">
        <v>58</v>
      </c>
      <c r="I54" s="135">
        <f>O21</f>
        <v>-2656.3636363636365</v>
      </c>
      <c r="J54" s="136">
        <f>P21</f>
        <v>1016.3636363636364</v>
      </c>
      <c r="K54" s="141" t="s">
        <v>52</v>
      </c>
      <c r="M54" s="132"/>
      <c r="N54">
        <v>-1491</v>
      </c>
    </row>
    <row r="55" spans="1:34" ht="17.399999999999999" customHeight="1" x14ac:dyDescent="0.35">
      <c r="F55" s="13"/>
      <c r="G55" s="131" t="s">
        <v>56</v>
      </c>
      <c r="H55" s="121" t="s">
        <v>60</v>
      </c>
      <c r="I55" s="123">
        <v>-1995</v>
      </c>
      <c r="J55" s="242" t="s">
        <v>190</v>
      </c>
      <c r="K55" s="249" t="s">
        <v>94</v>
      </c>
      <c r="N55">
        <v>-2609</v>
      </c>
    </row>
    <row r="56" spans="1:34" ht="17.399999999999999" customHeight="1" thickBot="1" x14ac:dyDescent="0.35">
      <c r="F56" s="13"/>
      <c r="G56" s="142" t="s">
        <v>73</v>
      </c>
      <c r="H56" s="137" t="s">
        <v>59</v>
      </c>
      <c r="I56" s="138">
        <f>O39</f>
        <v>-1487.5</v>
      </c>
      <c r="J56" s="139">
        <f>P39</f>
        <v>1149.3333333333333</v>
      </c>
      <c r="K56" s="143" t="s">
        <v>65</v>
      </c>
    </row>
    <row r="57" spans="1:34" ht="7.2" customHeight="1" thickBot="1" x14ac:dyDescent="0.35">
      <c r="F57" s="13"/>
      <c r="G57" s="13"/>
      <c r="H57" s="13"/>
      <c r="I57" s="13"/>
      <c r="J57" s="13"/>
      <c r="K57" s="13"/>
      <c r="L57" s="13"/>
    </row>
    <row r="58" spans="1:34" ht="17.399999999999999" customHeight="1" x14ac:dyDescent="0.3">
      <c r="F58" s="13"/>
      <c r="G58" s="140" t="s">
        <v>54</v>
      </c>
      <c r="H58" s="134" t="s">
        <v>62</v>
      </c>
      <c r="I58" s="135">
        <f>V25</f>
        <v>-3631</v>
      </c>
      <c r="J58" s="136">
        <f>W25</f>
        <v>588</v>
      </c>
      <c r="K58" s="141" t="s">
        <v>66</v>
      </c>
    </row>
    <row r="59" spans="1:34" ht="17.399999999999999" customHeight="1" x14ac:dyDescent="0.35">
      <c r="F59" s="13"/>
      <c r="G59" s="131" t="s">
        <v>57</v>
      </c>
      <c r="H59" s="121" t="s">
        <v>63</v>
      </c>
      <c r="I59" s="123">
        <v>-2905</v>
      </c>
      <c r="J59" s="242" t="s">
        <v>190</v>
      </c>
      <c r="K59" s="117"/>
    </row>
    <row r="60" spans="1:34" ht="17.399999999999999" customHeight="1" thickBot="1" x14ac:dyDescent="0.35">
      <c r="F60" s="13"/>
      <c r="G60" s="133" t="s">
        <v>55</v>
      </c>
      <c r="H60" s="122" t="s">
        <v>61</v>
      </c>
      <c r="I60" s="118">
        <f>V48</f>
        <v>-2909.5238095238096</v>
      </c>
      <c r="J60" s="119">
        <f>W48</f>
        <v>630</v>
      </c>
      <c r="K60" s="120" t="s">
        <v>51</v>
      </c>
      <c r="M60">
        <f>-1995+545</f>
        <v>-1450</v>
      </c>
    </row>
    <row r="61" spans="1:34" ht="17.399999999999999" customHeight="1" thickTop="1" x14ac:dyDescent="0.3">
      <c r="F61" s="13"/>
      <c r="M61">
        <f>-1995-545</f>
        <v>-2540</v>
      </c>
    </row>
  </sheetData>
  <hyperlinks>
    <hyperlink ref="F1" r:id="rId1"/>
    <hyperlink ref="K11" r:id="rId2"/>
    <hyperlink ref="K15" r:id="rId3"/>
  </hyperlinks>
  <pageMargins left="0.25" right="0.25" top="0.75" bottom="0.75" header="0.3" footer="0.3"/>
  <pageSetup paperSize="9" orientation="landscape"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2"/>
  <sheetViews>
    <sheetView zoomScale="120" zoomScaleNormal="120" workbookViewId="0">
      <selection activeCell="L3" sqref="L3"/>
    </sheetView>
  </sheetViews>
  <sheetFormatPr baseColWidth="10" defaultRowHeight="14.4" x14ac:dyDescent="0.3"/>
  <cols>
    <col min="1" max="1" width="4.88671875" customWidth="1"/>
    <col min="2" max="2" width="25.33203125" customWidth="1"/>
    <col min="4" max="4" width="3.33203125" customWidth="1"/>
    <col min="5" max="5" width="9" customWidth="1"/>
    <col min="6" max="6" width="8" customWidth="1"/>
    <col min="7" max="7" width="2" customWidth="1"/>
    <col min="8" max="8" width="16.33203125" customWidth="1"/>
    <col min="9" max="11" width="7.33203125" customWidth="1"/>
  </cols>
  <sheetData>
    <row r="1" spans="1:12" ht="15" thickBot="1" x14ac:dyDescent="0.35">
      <c r="G1" s="321"/>
      <c r="H1" s="303"/>
      <c r="I1" s="304" t="s">
        <v>111</v>
      </c>
      <c r="J1" s="304"/>
      <c r="K1" s="322" t="s">
        <v>112</v>
      </c>
    </row>
    <row r="2" spans="1:12" ht="15" thickTop="1" x14ac:dyDescent="0.3">
      <c r="A2" s="218"/>
      <c r="B2" s="221" t="s">
        <v>85</v>
      </c>
      <c r="C2" s="222"/>
      <c r="D2" s="223"/>
      <c r="E2" s="255" t="s">
        <v>102</v>
      </c>
      <c r="G2" s="321"/>
      <c r="H2" s="311" t="s">
        <v>108</v>
      </c>
      <c r="I2" s="312">
        <v>16</v>
      </c>
      <c r="J2" s="313" t="s">
        <v>31</v>
      </c>
      <c r="K2" s="314">
        <v>3</v>
      </c>
    </row>
    <row r="3" spans="1:12" x14ac:dyDescent="0.3">
      <c r="A3" s="218"/>
      <c r="B3" s="228" t="s">
        <v>86</v>
      </c>
      <c r="C3" s="217">
        <v>152897</v>
      </c>
      <c r="D3" s="229" t="s">
        <v>31</v>
      </c>
      <c r="E3" s="230">
        <v>38982</v>
      </c>
      <c r="G3" s="321"/>
      <c r="H3" s="305"/>
      <c r="I3" s="9"/>
      <c r="J3" s="9"/>
      <c r="K3" s="306"/>
    </row>
    <row r="4" spans="1:12" x14ac:dyDescent="0.3">
      <c r="A4" s="346"/>
      <c r="B4" s="224" t="s">
        <v>87</v>
      </c>
      <c r="C4" s="219">
        <f>C3/0.917</f>
        <v>166736.0959651036</v>
      </c>
      <c r="D4" s="220" t="s">
        <v>31</v>
      </c>
      <c r="E4" s="231">
        <f>E3/0.917</f>
        <v>42510.35986913849</v>
      </c>
      <c r="G4" s="321"/>
      <c r="H4" s="205" t="s">
        <v>109</v>
      </c>
      <c r="I4" s="302">
        <f>0.79*20</f>
        <v>15.8</v>
      </c>
      <c r="J4" s="301" t="s">
        <v>31</v>
      </c>
      <c r="K4" s="323">
        <f>0.37*20</f>
        <v>7.4</v>
      </c>
    </row>
    <row r="5" spans="1:12" ht="15" thickBot="1" x14ac:dyDescent="0.35">
      <c r="A5" s="347"/>
      <c r="B5" s="225" t="s">
        <v>84</v>
      </c>
      <c r="C5" s="226">
        <f>1000*C4/726258</f>
        <v>229.58245687497225</v>
      </c>
      <c r="D5" s="227" t="s">
        <v>31</v>
      </c>
      <c r="E5" s="232">
        <f>1000*E4/726258</f>
        <v>58.533413565342471</v>
      </c>
      <c r="G5" s="321"/>
      <c r="H5" s="205" t="s">
        <v>109</v>
      </c>
      <c r="I5" s="302">
        <f>20*0.83</f>
        <v>16.599999999999998</v>
      </c>
      <c r="J5" s="301" t="s">
        <v>31</v>
      </c>
      <c r="K5" s="323">
        <f>20*0.37</f>
        <v>7.4</v>
      </c>
    </row>
    <row r="6" spans="1:12" ht="15" thickTop="1" x14ac:dyDescent="0.3">
      <c r="A6" s="347"/>
      <c r="G6" s="321"/>
      <c r="H6" s="205" t="s">
        <v>110</v>
      </c>
      <c r="I6" s="302">
        <f>20*0.59</f>
        <v>11.799999999999999</v>
      </c>
      <c r="J6" s="301" t="s">
        <v>31</v>
      </c>
      <c r="K6" s="323">
        <f>20*0.07</f>
        <v>1.4000000000000001</v>
      </c>
    </row>
    <row r="7" spans="1:12" ht="18.600000000000001" thickBot="1" x14ac:dyDescent="0.4">
      <c r="A7" s="348"/>
      <c r="G7" s="321"/>
      <c r="H7" s="318" t="s">
        <v>20</v>
      </c>
      <c r="I7" s="490">
        <f>AVERAGE(I4:I6)</f>
        <v>14.733333333333333</v>
      </c>
      <c r="J7" s="491" t="s">
        <v>31</v>
      </c>
      <c r="K7" s="492">
        <f>AVERAGE(K4:K6)</f>
        <v>5.3999999999999995</v>
      </c>
    </row>
    <row r="8" spans="1:12" x14ac:dyDescent="0.3">
      <c r="A8" s="348"/>
      <c r="G8" s="321"/>
    </row>
    <row r="9" spans="1:12" x14ac:dyDescent="0.3">
      <c r="A9" s="348"/>
      <c r="G9" s="321"/>
      <c r="H9" s="308"/>
      <c r="I9" s="309" t="s">
        <v>113</v>
      </c>
      <c r="J9" s="324" t="s">
        <v>114</v>
      </c>
      <c r="K9" s="308"/>
    </row>
    <row r="10" spans="1:12" x14ac:dyDescent="0.3">
      <c r="A10" s="348"/>
      <c r="G10" s="321"/>
      <c r="H10" s="308" t="s">
        <v>115</v>
      </c>
      <c r="I10" s="308">
        <v>230</v>
      </c>
      <c r="J10" s="324">
        <v>0.2</v>
      </c>
      <c r="K10" s="310">
        <f>J10/I10</f>
        <v>8.6956521739130438E-4</v>
      </c>
    </row>
    <row r="11" spans="1:12" x14ac:dyDescent="0.3">
      <c r="A11" s="348"/>
      <c r="G11" s="321"/>
      <c r="H11" s="308" t="s">
        <v>116</v>
      </c>
      <c r="I11" s="308">
        <v>230</v>
      </c>
      <c r="J11" s="324">
        <v>59</v>
      </c>
      <c r="K11" s="319">
        <f>J11/I11</f>
        <v>0.2565217391304348</v>
      </c>
      <c r="L11" s="327">
        <f>K11/K14</f>
        <v>35.057971014492757</v>
      </c>
    </row>
    <row r="12" spans="1:12" x14ac:dyDescent="0.3">
      <c r="A12" s="348"/>
      <c r="G12" s="321"/>
      <c r="J12" s="1">
        <f>J11/J10</f>
        <v>295</v>
      </c>
      <c r="K12" s="307"/>
    </row>
    <row r="13" spans="1:12" x14ac:dyDescent="0.3">
      <c r="A13" s="348"/>
      <c r="G13" s="321"/>
      <c r="H13" s="316" t="s">
        <v>117</v>
      </c>
      <c r="I13" s="317">
        <v>16</v>
      </c>
      <c r="J13" s="325">
        <v>3</v>
      </c>
      <c r="K13" s="315">
        <f>J13/I13</f>
        <v>0.1875</v>
      </c>
    </row>
    <row r="14" spans="1:12" x14ac:dyDescent="0.3">
      <c r="A14" s="348"/>
      <c r="B14" s="1"/>
      <c r="C14" s="1"/>
      <c r="D14" s="1"/>
      <c r="G14" s="321"/>
      <c r="H14" s="328" t="s">
        <v>118</v>
      </c>
      <c r="I14" s="326">
        <v>410</v>
      </c>
      <c r="J14" s="326">
        <v>3</v>
      </c>
      <c r="K14" s="320">
        <f>J14/I14</f>
        <v>7.3170731707317077E-3</v>
      </c>
      <c r="L14" s="486"/>
    </row>
    <row r="15" spans="1:12" x14ac:dyDescent="0.3">
      <c r="A15" s="348"/>
      <c r="B15" s="1"/>
      <c r="C15" s="1"/>
      <c r="D15" s="1"/>
      <c r="G15" s="321"/>
    </row>
    <row r="16" spans="1:12" x14ac:dyDescent="0.3">
      <c r="A16" s="348"/>
      <c r="B16" s="1"/>
      <c r="C16" s="1"/>
      <c r="D16" s="1"/>
      <c r="G16" s="321"/>
    </row>
    <row r="17" spans="1:7" x14ac:dyDescent="0.3">
      <c r="A17" s="348"/>
      <c r="B17" s="1"/>
      <c r="C17" s="1"/>
      <c r="D17" s="1"/>
      <c r="G17" s="321"/>
    </row>
    <row r="18" spans="1:7" x14ac:dyDescent="0.3">
      <c r="A18" s="348"/>
      <c r="B18" s="1"/>
      <c r="C18" s="1"/>
      <c r="D18" s="1"/>
      <c r="G18" s="321"/>
    </row>
    <row r="19" spans="1:7" ht="9.6" customHeight="1" x14ac:dyDescent="0.3">
      <c r="A19" s="348"/>
      <c r="B19" s="46"/>
      <c r="C19" s="1"/>
      <c r="D19" s="1"/>
      <c r="G19" s="321"/>
    </row>
    <row r="20" spans="1:7" x14ac:dyDescent="0.3">
      <c r="A20" s="348"/>
      <c r="B20" s="1"/>
      <c r="C20" s="1"/>
      <c r="D20" s="1"/>
      <c r="G20" s="321"/>
    </row>
    <row r="21" spans="1:7" x14ac:dyDescent="0.3">
      <c r="A21" s="348"/>
      <c r="B21" s="1"/>
      <c r="C21" s="1"/>
      <c r="D21" s="1"/>
      <c r="G21" s="321"/>
    </row>
    <row r="22" spans="1:7" ht="10.199999999999999" customHeight="1" x14ac:dyDescent="0.3">
      <c r="A22" s="348"/>
      <c r="B22" s="1"/>
      <c r="C22" s="1"/>
      <c r="D22" s="1"/>
      <c r="G22" s="321"/>
    </row>
    <row r="23" spans="1:7" x14ac:dyDescent="0.3">
      <c r="B23" s="1"/>
      <c r="C23" s="1"/>
      <c r="D23" s="1"/>
      <c r="G23" s="321"/>
    </row>
    <row r="24" spans="1:7" x14ac:dyDescent="0.3">
      <c r="B24" s="1"/>
      <c r="C24" s="1"/>
      <c r="D24" s="1"/>
      <c r="G24" s="321"/>
    </row>
    <row r="25" spans="1:7" x14ac:dyDescent="0.3">
      <c r="A25" s="46"/>
      <c r="G25" s="321"/>
    </row>
    <row r="26" spans="1:7" x14ac:dyDescent="0.3">
      <c r="G26" s="321"/>
    </row>
    <row r="27" spans="1:7" x14ac:dyDescent="0.3">
      <c r="G27" s="321"/>
    </row>
    <row r="28" spans="1:7" x14ac:dyDescent="0.3">
      <c r="G28" s="321"/>
    </row>
    <row r="29" spans="1:7" x14ac:dyDescent="0.3">
      <c r="G29" s="321"/>
    </row>
    <row r="30" spans="1:7" x14ac:dyDescent="0.3">
      <c r="G30" s="321"/>
    </row>
    <row r="31" spans="1:7" x14ac:dyDescent="0.3">
      <c r="G31" s="321"/>
    </row>
    <row r="32" spans="1:7" x14ac:dyDescent="0.3">
      <c r="G32" s="321"/>
    </row>
  </sheetData>
  <pageMargins left="0.25" right="0.25" top="0.75" bottom="0.75" header="0.3" footer="0.3"/>
  <pageSetup paperSize="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23"/>
  <sheetViews>
    <sheetView zoomScale="90" zoomScaleNormal="90" workbookViewId="0">
      <selection activeCell="G22" sqref="G22"/>
    </sheetView>
  </sheetViews>
  <sheetFormatPr baseColWidth="10" defaultRowHeight="14.4" x14ac:dyDescent="0.3"/>
  <cols>
    <col min="1" max="1" width="5.44140625" customWidth="1"/>
    <col min="2" max="2" width="8.44140625" customWidth="1"/>
    <col min="3" max="3" width="17.44140625" customWidth="1"/>
    <col min="4" max="4" width="20.6640625" customWidth="1"/>
    <col min="10" max="10" width="5.33203125" customWidth="1"/>
    <col min="11" max="11" width="16.88671875" style="1" customWidth="1"/>
    <col min="12" max="16" width="11.5546875" style="1"/>
  </cols>
  <sheetData>
    <row r="1" spans="5:19" x14ac:dyDescent="0.3">
      <c r="E1" s="339"/>
      <c r="F1" s="343" t="s">
        <v>3</v>
      </c>
      <c r="G1" s="339"/>
      <c r="H1" s="339"/>
      <c r="I1" s="339"/>
      <c r="J1" s="339"/>
      <c r="K1" s="340"/>
      <c r="L1" s="340"/>
      <c r="M1" s="341"/>
      <c r="N1" s="342" t="s">
        <v>132</v>
      </c>
      <c r="O1" s="341"/>
      <c r="P1" s="341"/>
      <c r="Q1" s="254"/>
      <c r="R1" s="254"/>
      <c r="S1" s="254"/>
    </row>
    <row r="3" spans="5:19" ht="15.6" x14ac:dyDescent="0.3">
      <c r="L3" s="344" t="s">
        <v>121</v>
      </c>
      <c r="M3" s="344" t="s">
        <v>112</v>
      </c>
      <c r="N3" s="344" t="s">
        <v>121</v>
      </c>
      <c r="O3" s="344" t="s">
        <v>112</v>
      </c>
    </row>
    <row r="4" spans="5:19" ht="15.6" x14ac:dyDescent="0.3">
      <c r="L4" s="344" t="s">
        <v>119</v>
      </c>
      <c r="M4" s="344" t="s">
        <v>119</v>
      </c>
      <c r="N4" s="344" t="s">
        <v>120</v>
      </c>
      <c r="O4" s="344" t="s">
        <v>120</v>
      </c>
    </row>
    <row r="5" spans="5:19" x14ac:dyDescent="0.3">
      <c r="K5" s="1" t="s">
        <v>122</v>
      </c>
      <c r="L5" s="233">
        <f>(275+301)/2</f>
        <v>288</v>
      </c>
      <c r="M5" s="233">
        <v>135</v>
      </c>
      <c r="N5" s="233">
        <f>L5*20</f>
        <v>5760</v>
      </c>
      <c r="O5" s="334">
        <f>M5*20</f>
        <v>2700</v>
      </c>
    </row>
    <row r="6" spans="5:19" x14ac:dyDescent="0.3">
      <c r="K6" s="1" t="s">
        <v>123</v>
      </c>
      <c r="L6" s="302">
        <f>(275+301+215)/3</f>
        <v>263.66666666666669</v>
      </c>
      <c r="M6" s="302">
        <f>(135+135+26)/3</f>
        <v>98.666666666666671</v>
      </c>
      <c r="N6" s="302">
        <f>L6*20</f>
        <v>5273.3333333333339</v>
      </c>
      <c r="O6" s="335">
        <f>M6*20</f>
        <v>1973.3333333333335</v>
      </c>
      <c r="P6" s="1" t="s">
        <v>134</v>
      </c>
    </row>
    <row r="7" spans="5:19" x14ac:dyDescent="0.3">
      <c r="K7" s="1" t="s">
        <v>130</v>
      </c>
      <c r="L7" s="233">
        <f>(301+275)/2</f>
        <v>288</v>
      </c>
      <c r="M7" s="233">
        <v>135</v>
      </c>
      <c r="N7" s="233">
        <f>L7*20</f>
        <v>5760</v>
      </c>
      <c r="O7" s="334">
        <f>20*M7</f>
        <v>2700</v>
      </c>
    </row>
    <row r="8" spans="5:19" x14ac:dyDescent="0.3">
      <c r="L8" s="233"/>
      <c r="M8" s="233"/>
      <c r="N8" s="233"/>
      <c r="O8" s="233"/>
    </row>
    <row r="11" spans="5:19" x14ac:dyDescent="0.3">
      <c r="K11" s="1" t="s">
        <v>124</v>
      </c>
      <c r="L11" s="233"/>
      <c r="M11" s="233"/>
      <c r="N11" s="233">
        <v>4260</v>
      </c>
      <c r="O11" s="233">
        <f>(5460-3060)/2</f>
        <v>1200</v>
      </c>
    </row>
    <row r="12" spans="5:19" x14ac:dyDescent="0.3">
      <c r="K12" s="1" t="s">
        <v>125</v>
      </c>
      <c r="L12" s="302">
        <f>(30+147)/2</f>
        <v>88.5</v>
      </c>
      <c r="M12" s="302">
        <f>(67+74.5)/2</f>
        <v>70.75</v>
      </c>
      <c r="N12" s="233">
        <f>L12*20</f>
        <v>1770</v>
      </c>
      <c r="O12" s="334">
        <f>M12*20</f>
        <v>1415</v>
      </c>
    </row>
    <row r="13" spans="5:19" x14ac:dyDescent="0.3">
      <c r="K13" s="1" t="s">
        <v>133</v>
      </c>
      <c r="L13" s="233">
        <f>(97+147)/2</f>
        <v>122</v>
      </c>
      <c r="M13" s="233">
        <f>(38.5+73.5)/2</f>
        <v>56</v>
      </c>
      <c r="N13" s="233">
        <f>L13*20</f>
        <v>2440</v>
      </c>
      <c r="O13" s="334">
        <f>M13*20</f>
        <v>1120</v>
      </c>
    </row>
    <row r="14" spans="5:19" ht="15" thickBot="1" x14ac:dyDescent="0.35">
      <c r="L14" s="233"/>
      <c r="M14" s="233"/>
      <c r="N14" s="233"/>
      <c r="O14" s="233"/>
    </row>
    <row r="15" spans="5:19" ht="16.2" thickBot="1" x14ac:dyDescent="0.35">
      <c r="K15" s="336" t="s">
        <v>131</v>
      </c>
      <c r="L15" s="3">
        <f>(34+215)/2</f>
        <v>124.5</v>
      </c>
      <c r="M15" s="3">
        <v>49.25</v>
      </c>
      <c r="N15" s="337">
        <f>20*L15</f>
        <v>2490</v>
      </c>
      <c r="O15" s="338">
        <f>20*M15</f>
        <v>985</v>
      </c>
      <c r="Q15">
        <f>(135-58)/2</f>
        <v>38.5</v>
      </c>
    </row>
    <row r="16" spans="5:19" x14ac:dyDescent="0.3">
      <c r="Q16">
        <f>(221-74)/2</f>
        <v>73.5</v>
      </c>
    </row>
    <row r="21" spans="2:5" x14ac:dyDescent="0.3">
      <c r="C21" s="233" t="s">
        <v>126</v>
      </c>
      <c r="D21" s="330" t="s">
        <v>127</v>
      </c>
      <c r="E21" s="217" t="s">
        <v>2</v>
      </c>
    </row>
    <row r="22" spans="2:5" x14ac:dyDescent="0.3">
      <c r="C22" s="331" t="s">
        <v>128</v>
      </c>
      <c r="D22" s="331" t="s">
        <v>129</v>
      </c>
      <c r="E22" s="217"/>
    </row>
    <row r="23" spans="2:5" ht="15.6" x14ac:dyDescent="0.3">
      <c r="B23" s="345" t="s">
        <v>119</v>
      </c>
      <c r="C23" s="332">
        <f>'Bilan gain perte'!E31/20</f>
        <v>-535.42499999999995</v>
      </c>
      <c r="D23" s="332">
        <f>-2*26198000/10000</f>
        <v>-5239.6000000000004</v>
      </c>
      <c r="E23" s="333">
        <f>D23/C23</f>
        <v>9.7858710370266628</v>
      </c>
    </row>
  </sheetData>
  <hyperlinks>
    <hyperlink ref="N1" r:id="rId1"/>
    <hyperlink ref="F1" r:id="rId2"/>
  </hyperlinks>
  <pageMargins left="0.7" right="0.7" top="0.75" bottom="0.75" header="0.3" footer="0.3"/>
  <pageSetup paperSize="9" orientation="portrait"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Chap. 4   AR4 &amp; AR5</vt:lpstr>
      <vt:lpstr>Bilan gain perte</vt:lpstr>
      <vt:lpstr>ZWALLY </vt:lpstr>
      <vt:lpstr>Marges erreurs </vt:lpstr>
      <vt:lpstr>Appendix 4A</vt:lpstr>
      <vt:lpstr>Vérif Glaciers</vt:lpstr>
      <vt:lpstr>Verif générale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Mjc</dc:creator>
  <cp:lastModifiedBy>rpf</cp:lastModifiedBy>
  <cp:lastPrinted>2020-04-05T08:20:00Z</cp:lastPrinted>
  <dcterms:created xsi:type="dcterms:W3CDTF">2020-01-04T09:47:27Z</dcterms:created>
  <dcterms:modified xsi:type="dcterms:W3CDTF">2020-04-07T07:37:52Z</dcterms:modified>
</cp:coreProperties>
</file>