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6380" windowHeight="8196" tabRatio="500" activeTab="3"/>
  </bookViews>
  <sheets>
    <sheet name="Statistiques" sheetId="1" r:id="rId1"/>
    <sheet name="Trois  flux + cycle  eau" sheetId="5" r:id="rId2"/>
    <sheet name="Comparatif shémas" sheetId="3" r:id="rId3"/>
    <sheet name="Forcage radiatif" sheetId="4" r:id="rId4"/>
  </sheets>
  <calcPr calcId="14562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Q35" i="1" l="1"/>
  <c r="Q36" i="1"/>
  <c r="Q37" i="1"/>
  <c r="Q38" i="1"/>
  <c r="Q34" i="1"/>
  <c r="P39" i="1"/>
  <c r="O39" i="1"/>
  <c r="P36" i="1"/>
  <c r="P37" i="1"/>
  <c r="P38" i="1"/>
  <c r="P35" i="1"/>
  <c r="P34" i="1"/>
  <c r="O29" i="1" l="1"/>
  <c r="P24" i="1"/>
  <c r="P25" i="1" l="1"/>
  <c r="B22" i="5"/>
  <c r="B16" i="5"/>
  <c r="B11" i="5"/>
  <c r="B10" i="5"/>
  <c r="J9" i="5"/>
  <c r="I9" i="5"/>
  <c r="B7" i="5"/>
  <c r="B9" i="5" s="1"/>
  <c r="B6" i="5"/>
  <c r="I3" i="5"/>
  <c r="I5" i="5" s="1"/>
  <c r="P26" i="1" l="1"/>
  <c r="B12" i="5"/>
  <c r="I6" i="5"/>
  <c r="I7" i="5" s="1"/>
  <c r="I13" i="5"/>
  <c r="I14" i="5" s="1"/>
  <c r="I4" i="5"/>
  <c r="P27" i="1" l="1"/>
  <c r="K7" i="5"/>
  <c r="I11" i="5"/>
  <c r="B17" i="5"/>
  <c r="C17" i="5" s="1"/>
  <c r="C12" i="5"/>
  <c r="P28" i="1" l="1"/>
  <c r="B21" i="5"/>
  <c r="C21" i="5" s="1"/>
  <c r="P29" i="1" l="1"/>
  <c r="Q28" i="1"/>
  <c r="C24" i="3"/>
  <c r="Q24" i="1" l="1"/>
  <c r="Q25" i="1"/>
  <c r="Q26" i="1"/>
  <c r="Q27" i="1"/>
  <c r="E5" i="4"/>
  <c r="F5" i="4" s="1"/>
  <c r="E7" i="4" l="1"/>
  <c r="F7" i="4" s="1"/>
  <c r="E6" i="4"/>
  <c r="F6" i="4" s="1"/>
  <c r="E4" i="4"/>
  <c r="F4" i="4" s="1"/>
  <c r="H27" i="3"/>
  <c r="F27" i="3"/>
  <c r="E27" i="3"/>
  <c r="G26" i="3"/>
  <c r="G27" i="3" s="1"/>
  <c r="D26" i="3"/>
  <c r="D27" i="3" s="1"/>
  <c r="H22" i="3"/>
  <c r="H21" i="3"/>
  <c r="G21" i="3"/>
  <c r="G22" i="3" s="1"/>
  <c r="F21" i="3"/>
  <c r="F22" i="3" s="1"/>
  <c r="E21" i="3"/>
  <c r="D21" i="3"/>
  <c r="D22" i="3" s="1"/>
  <c r="C20" i="3"/>
  <c r="H19" i="3"/>
  <c r="G19" i="3"/>
  <c r="F19" i="3"/>
  <c r="E19" i="3"/>
  <c r="E22" i="3" s="1"/>
  <c r="D19" i="3"/>
  <c r="H15" i="3"/>
  <c r="H16" i="3" s="1"/>
  <c r="F15" i="3"/>
  <c r="H14" i="3"/>
  <c r="G14" i="3"/>
  <c r="G15" i="3" s="1"/>
  <c r="G16" i="3" s="1"/>
  <c r="E14" i="3"/>
  <c r="E15" i="3" s="1"/>
  <c r="C14" i="3"/>
  <c r="O11" i="3"/>
  <c r="M11" i="3"/>
  <c r="L11" i="3"/>
  <c r="K11" i="3"/>
  <c r="H11" i="3"/>
  <c r="G11" i="3"/>
  <c r="F11" i="3"/>
  <c r="E11" i="3"/>
  <c r="D11" i="3"/>
  <c r="O10" i="3"/>
  <c r="M10" i="3"/>
  <c r="L10" i="3"/>
  <c r="F10" i="3"/>
  <c r="C10" i="3"/>
  <c r="G8" i="3"/>
  <c r="D8" i="3"/>
  <c r="H7" i="3"/>
  <c r="H6" i="3"/>
  <c r="H8" i="3" s="1"/>
  <c r="G6" i="3"/>
  <c r="G7" i="3" s="1"/>
  <c r="F6" i="3"/>
  <c r="F7" i="3" s="1"/>
  <c r="E6" i="3"/>
  <c r="E7" i="3" s="1"/>
  <c r="D6" i="3"/>
  <c r="D7" i="3" s="1"/>
  <c r="E5" i="3"/>
  <c r="C5" i="3"/>
  <c r="D32" i="1"/>
  <c r="E32" i="1" s="1"/>
  <c r="E30" i="1"/>
  <c r="E29" i="1"/>
  <c r="D29" i="1"/>
  <c r="E28" i="1"/>
  <c r="E27" i="1"/>
  <c r="E21" i="1"/>
  <c r="D21" i="1"/>
  <c r="D11" i="1"/>
  <c r="D12" i="1" s="1"/>
  <c r="B15" i="1" s="1"/>
  <c r="E16" i="3" l="1"/>
  <c r="F16" i="3"/>
  <c r="E8" i="3"/>
  <c r="F8" i="3"/>
</calcChain>
</file>

<file path=xl/comments1.xml><?xml version="1.0" encoding="utf-8"?>
<comments xmlns="http://schemas.openxmlformats.org/spreadsheetml/2006/main">
  <authors>
    <author>rpf</author>
  </authors>
  <commentList>
    <comment ref="H3" authorId="0">
      <text>
        <r>
          <rPr>
            <sz val="11"/>
            <color indexed="81"/>
            <rFont val="Tahoma"/>
            <family val="2"/>
          </rPr>
          <t xml:space="preserve">0,820 m sur les terres
1 m en moyenne ?
</t>
        </r>
      </text>
    </comment>
    <comment ref="A5" authorId="0">
      <text>
        <r>
          <rPr>
            <b/>
            <sz val="11"/>
            <color indexed="81"/>
            <rFont val="Tahoma"/>
            <family val="2"/>
          </rPr>
          <t>1355 à 1375
usuel = 1368 W/m²</t>
        </r>
        <r>
          <rPr>
            <sz val="11"/>
            <color indexed="81"/>
            <rFont val="Tahoma"/>
            <family val="2"/>
          </rPr>
          <t xml:space="preserve">
</t>
        </r>
      </text>
    </comment>
    <comment ref="H5" authorId="0">
      <text>
        <r>
          <rPr>
            <b/>
            <sz val="11"/>
            <color indexed="81"/>
            <rFont val="Tahoma"/>
            <family val="2"/>
          </rPr>
          <t>surface terre 5,1 E14</t>
        </r>
        <r>
          <rPr>
            <sz val="11"/>
            <color indexed="81"/>
            <rFont val="Tahoma"/>
            <family val="2"/>
          </rPr>
          <t xml:space="preserve">
</t>
        </r>
      </text>
    </comment>
    <comment ref="A6" authorId="0">
      <text>
        <r>
          <rPr>
            <sz val="11"/>
            <color indexed="81"/>
            <rFont val="Tahoma"/>
            <family val="2"/>
          </rPr>
          <t>3 juillet 1410 W/m²
3 janvier 1320 W/m²
moy? 1368 W/m²</t>
        </r>
        <r>
          <rPr>
            <sz val="11"/>
            <color indexed="81"/>
            <rFont val="Calibri"/>
            <family val="2"/>
          </rPr>
          <t>±</t>
        </r>
        <r>
          <rPr>
            <sz val="11"/>
            <color indexed="81"/>
            <rFont val="Tahoma"/>
            <family val="2"/>
          </rPr>
          <t xml:space="preserve"> 3%</t>
        </r>
      </text>
    </comment>
    <comment ref="H6" authorId="0">
      <text>
        <r>
          <rPr>
            <b/>
            <sz val="11"/>
            <color indexed="81"/>
            <rFont val="Tahoma"/>
            <family val="2"/>
          </rPr>
          <t>2250 J /g</t>
        </r>
        <r>
          <rPr>
            <sz val="11"/>
            <color indexed="81"/>
            <rFont val="Tahoma"/>
            <family val="2"/>
          </rPr>
          <t xml:space="preserve">
</t>
        </r>
      </text>
    </comment>
    <comment ref="A7" authorId="0">
      <text>
        <r>
          <rPr>
            <sz val="11"/>
            <color indexed="81"/>
            <rFont val="Tahoma"/>
            <family val="2"/>
          </rPr>
          <t>1 à 2 W/m² ?
0,1 % à 0,2 %  ?</t>
        </r>
      </text>
    </comment>
    <comment ref="H7" authorId="0">
      <text>
        <r>
          <rPr>
            <sz val="11"/>
            <color indexed="81"/>
            <rFont val="Tahoma"/>
            <family val="2"/>
          </rPr>
          <t xml:space="preserve">il y a (365*24*3600) secondes par an
soit 3,154 e7 secondes
</t>
        </r>
      </text>
    </comment>
    <comment ref="A10" authorId="0">
      <text>
        <r>
          <rPr>
            <sz val="11"/>
            <color indexed="81"/>
            <rFont val="Tahoma"/>
            <family val="2"/>
          </rPr>
          <t xml:space="preserve">Equateur  6378 km 
Pôles  6357 km
moy 6371 km
Troposphére +11 km
Stratosphère  +50 km </t>
        </r>
      </text>
    </comment>
  </commentList>
</comments>
</file>

<file path=xl/sharedStrings.xml><?xml version="1.0" encoding="utf-8"?>
<sst xmlns="http://schemas.openxmlformats.org/spreadsheetml/2006/main" count="128" uniqueCount="102">
  <si>
    <t>RADIOSONDAGES</t>
  </si>
  <si>
    <t>https://www.researchgate.net/publication/343856871_Radiosounding_HARMonization_RHARM_a_new_homogenized_dataset_of_radiosounding_temperature_humidity_and_wind_profiles_with_uncertainty</t>
  </si>
  <si>
    <t>nombre total decollage</t>
  </si>
  <si>
    <t xml:space="preserve">Durée totale </t>
  </si>
  <si>
    <t>2004-2020</t>
  </si>
  <si>
    <t>plage</t>
  </si>
  <si>
    <t>ans</t>
  </si>
  <si>
    <t>heures</t>
  </si>
  <si>
    <t>présents dans l'atmosphére</t>
  </si>
  <si>
    <t>duree moyenne d'un vol</t>
  </si>
  <si>
    <t>https://fr.wikipedia.org/wiki/Ressources_et_consommation_%C3%A9nerg%C3%A9tiques_mondiales#Consommation_%C3%A9nerg%C3%A9tique_mondiale</t>
  </si>
  <si>
    <t>Energie primaire /an (J)</t>
  </si>
  <si>
    <t>1 an</t>
  </si>
  <si>
    <t>P  (W)</t>
  </si>
  <si>
    <t>Surface du globe</t>
  </si>
  <si>
    <t>https://donnees.banquemondiale.org/indicator/AG.LND.AGRI.K2?end=2016&amp;most_recent_value_desc=false&amp;start=1961&amp;type=points&amp;view=chart&amp;year=2010</t>
  </si>
  <si>
    <t>Agriculture</t>
  </si>
  <si>
    <t>Cultures</t>
  </si>
  <si>
    <t>Patures</t>
  </si>
  <si>
    <t>Urbanisation</t>
  </si>
  <si>
    <t>https://donnees.banquemondiale.org/indicator/AG.LND.TOTL.UR.K2?end=2010&amp;most_recent_value_desc=false&amp;start=2010&amp;type=points&amp;view=bar&amp;year=2010</t>
  </si>
  <si>
    <t>surface influence albédo</t>
  </si>
  <si>
    <t>https://www.pmodwrc.ch/en/research-development/solar-physics/tsi-composite/</t>
  </si>
  <si>
    <t>http://www.fao.org/nr/water/aquastat/didyouknow/printfra1.stm</t>
  </si>
  <si>
    <t>https://hess.copernicus.org/articles/24/3899/2020/</t>
  </si>
  <si>
    <t>Précipitation moy  (m/an)</t>
  </si>
  <si>
    <t>TSI</t>
  </si>
  <si>
    <t>Précipitation moy  (mm/jour)</t>
  </si>
  <si>
    <t>Mesures TOA (W/m²)</t>
  </si>
  <si>
    <t>volume (m^3)</t>
  </si>
  <si>
    <t>Variation janvier/juillet  (%)</t>
  </si>
  <si>
    <t>Energie annuelle</t>
  </si>
  <si>
    <t>variation cycle Shwabe  (%)</t>
  </si>
  <si>
    <t>Puissance  (PW)</t>
  </si>
  <si>
    <t>W/m²</t>
  </si>
  <si>
    <t>variation séculaire (%)</t>
  </si>
  <si>
    <t>TSI ajustée (W/m²)</t>
  </si>
  <si>
    <t>[1320 à 1420]</t>
  </si>
  <si>
    <t>Convection ?      (PW)</t>
  </si>
  <si>
    <t>Rayon (km) Terre + Atm.</t>
  </si>
  <si>
    <t>TRANSPIRATION</t>
  </si>
  <si>
    <t>Surface disque (m²)</t>
  </si>
  <si>
    <t>Total H2O atmosphere (kg)</t>
  </si>
  <si>
    <t>Evaporation jour (kg)</t>
  </si>
  <si>
    <t>Durée de séjour (jour)</t>
  </si>
  <si>
    <t>Albédo</t>
  </si>
  <si>
    <t>175   [169 à 181]</t>
  </si>
  <si>
    <t>P visible    (PW)</t>
  </si>
  <si>
    <t>1368 [1320 à 1417]</t>
  </si>
  <si>
    <t>OLR</t>
  </si>
  <si>
    <t>par bilan  (PW)</t>
  </si>
  <si>
    <t>IR (TOA)</t>
  </si>
  <si>
    <t>https://www.ipcc.ch/site/assets/uploads/2018/02/Fig2-11-1.jpg</t>
  </si>
  <si>
    <t>https://upload.wikimedia.org/wikipedia/commons/b/bb/The-NASA-Earth%27s-Energy-Budget-Poster-Radiant-Energy-System-satellite-infrared-radiation-fluxes.jpg</t>
  </si>
  <si>
    <t>https://www.nasa.gov/sites/default/files/thumbnails/image/ceres-poster-011-v2.jpg</t>
  </si>
  <si>
    <t>https://ep3vztogsj3zdd6p6fxpuoxcry--ceres-larc-nasa-gov.translate.goog/images/EnergyBudget.png</t>
  </si>
  <si>
    <t>Maurin</t>
  </si>
  <si>
    <t>AR5</t>
  </si>
  <si>
    <t>NASA</t>
  </si>
  <si>
    <t>Moranne/Veyres</t>
  </si>
  <si>
    <t>CERES</t>
  </si>
  <si>
    <t>Wikipedia</t>
  </si>
  <si>
    <t>RSF</t>
  </si>
  <si>
    <t>https://acp.copernicus.org/articles/5/2847/2005/</t>
  </si>
  <si>
    <t>RSF atm</t>
  </si>
  <si>
    <t>NASA ceres</t>
  </si>
  <si>
    <t>maurin</t>
  </si>
  <si>
    <t>Hatzianastassiou</t>
  </si>
  <si>
    <t>RSF sol</t>
  </si>
  <si>
    <t>interc atm</t>
  </si>
  <si>
    <t>arrive au sol brut</t>
  </si>
  <si>
    <t>net sol</t>
  </si>
  <si>
    <t>evapor</t>
  </si>
  <si>
    <t>conv</t>
  </si>
  <si>
    <t>evap+conv</t>
  </si>
  <si>
    <t>solde</t>
  </si>
  <si>
    <t>IR direct sol</t>
  </si>
  <si>
    <t>https://ceres.larc.nasa.gov/documents/press_releases/images/ceres_brochure_1.pdf</t>
  </si>
  <si>
    <t>https://agupubs.onlinelibrary.wiley.com/doi/pdfdirect/10.1029/98GL01908</t>
  </si>
  <si>
    <t>Dates</t>
  </si>
  <si>
    <t>[CO2]  (ppmv)</t>
  </si>
  <si>
    <t>Myhre (W/m²)</t>
  </si>
  <si>
    <t>Puissance globale (PW)</t>
  </si>
  <si>
    <t>Moyenne 1980/2020</t>
  </si>
  <si>
    <t>https://fr.wikipedia.org/wiki/For%C3%A7age_radiatif</t>
  </si>
  <si>
    <t>préindustriel 1750</t>
  </si>
  <si>
    <r>
      <rPr>
        <b/>
        <sz val="16"/>
        <color indexed="30"/>
        <rFont val="Calibri"/>
        <family val="2"/>
      </rPr>
      <t>P</t>
    </r>
    <r>
      <rPr>
        <b/>
        <sz val="12"/>
        <color indexed="30"/>
        <rFont val="Calibri"/>
        <family val="2"/>
      </rPr>
      <t xml:space="preserve"> (10^15 Watt ou PW)</t>
    </r>
  </si>
  <si>
    <r>
      <t>P</t>
    </r>
    <r>
      <rPr>
        <b/>
        <sz val="11"/>
        <color indexed="10"/>
        <rFont val="Calibri"/>
        <family val="2"/>
      </rPr>
      <t xml:space="preserve"> (10^15 Watt ou PW)</t>
    </r>
  </si>
  <si>
    <t>https://doi.org/10.1175/JCLI-3299.1</t>
  </si>
  <si>
    <t>https://arxiv.org/pdf/1810.08658.pdf</t>
  </si>
  <si>
    <t>Altitude (km)</t>
  </si>
  <si>
    <t>Masse (kg)</t>
  </si>
  <si>
    <t>Cumul (kg)</t>
  </si>
  <si>
    <t>Pourcentage</t>
  </si>
  <si>
    <t>Troposphère</t>
  </si>
  <si>
    <t>Stratosphère</t>
  </si>
  <si>
    <t>Meso+Thermo</t>
  </si>
  <si>
    <t>Total</t>
  </si>
  <si>
    <t>STATISTIQUES  MASSES_ ATMOSPHERE</t>
  </si>
  <si>
    <t>Eakins &amp;Sharman</t>
  </si>
  <si>
    <t>Kossinna</t>
  </si>
  <si>
    <r>
      <t xml:space="preserve">12 km </t>
    </r>
    <r>
      <rPr>
        <sz val="11"/>
        <color rgb="FFC9211E"/>
        <rFont val="Calibri"/>
        <family val="2"/>
      </rPr>
      <t xml:space="preserve">≈ </t>
    </r>
    <r>
      <rPr>
        <sz val="11"/>
        <color rgb="FFC9211E"/>
        <rFont val="Calibri"/>
        <family val="2"/>
        <charset val="1"/>
      </rPr>
      <t>78%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</si>
</sst>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\ %"/>
    <numFmt numFmtId="165" formatCode="0.0%"/>
    <numFmt numFmtId="166" formatCode="0.00\ %"/>
    <numFmt numFmtId="167" formatCode="0.000"/>
    <numFmt numFmtId="168" formatCode="0.0"/>
    <numFmt numFmtId="169" formatCode="0.0\ %"/>
    <numFmt numFmtId="170" formatCode="0.000E+00"/>
    <numFmt numFmtId="171" formatCode="0.0000E+00"/>
  </numFmts>
  <fonts count="51" x14ac:knownFonts="1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u/>
      <sz val="11"/>
      <color rgb="FF0000FF"/>
      <name val="Calibri"/>
      <family val="2"/>
      <charset val="1"/>
    </font>
    <font>
      <b/>
      <sz val="12"/>
      <color rgb="FFFF0000"/>
      <name val="Calibri"/>
      <family val="2"/>
      <charset val="1"/>
    </font>
    <font>
      <u/>
      <sz val="8"/>
      <color rgb="FF0000FF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1"/>
      <color rgb="FFC9211E"/>
      <name val="Calibri"/>
      <family val="2"/>
      <charset val="1"/>
    </font>
    <font>
      <b/>
      <sz val="11"/>
      <color rgb="FFC00000"/>
      <name val="Calibri"/>
      <family val="2"/>
      <charset val="1"/>
    </font>
    <font>
      <b/>
      <sz val="11"/>
      <color rgb="FF0070C0"/>
      <name val="Calibri"/>
      <family val="2"/>
      <charset val="1"/>
    </font>
    <font>
      <sz val="11"/>
      <color rgb="FFFF0000"/>
      <name val="Calibri"/>
      <family val="2"/>
      <charset val="1"/>
    </font>
    <font>
      <b/>
      <sz val="14"/>
      <color rgb="FF000000"/>
      <name val="Calibri"/>
      <family val="2"/>
      <charset val="1"/>
    </font>
    <font>
      <u/>
      <sz val="7"/>
      <color rgb="FF0000FF"/>
      <name val="Calibri"/>
      <family val="2"/>
      <charset val="1"/>
    </font>
    <font>
      <b/>
      <sz val="10"/>
      <color rgb="FF000000"/>
      <name val="Calibri"/>
      <family val="2"/>
      <charset val="1"/>
    </font>
    <font>
      <i/>
      <sz val="11"/>
      <color rgb="FF000000"/>
      <name val="Calibri"/>
      <family val="2"/>
      <charset val="1"/>
    </font>
    <font>
      <i/>
      <sz val="10"/>
      <color rgb="FF000000"/>
      <name val="Calibri"/>
      <family val="2"/>
      <charset val="1"/>
    </font>
    <font>
      <b/>
      <sz val="11"/>
      <color rgb="FFFF0000"/>
      <name val="Calibri"/>
      <family val="2"/>
      <charset val="1"/>
    </font>
    <font>
      <sz val="11"/>
      <color rgb="FF3465A4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14"/>
      <color rgb="FFC9211E"/>
      <name val="Calibri"/>
      <family val="2"/>
      <charset val="1"/>
    </font>
    <font>
      <sz val="11"/>
      <color rgb="FF000000"/>
      <name val="Calibri"/>
      <family val="2"/>
      <charset val="1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6"/>
      <color indexed="30"/>
      <name val="Calibri"/>
      <family val="2"/>
    </font>
    <font>
      <b/>
      <sz val="12"/>
      <color indexed="30"/>
      <name val="Calibri"/>
      <family val="2"/>
    </font>
    <font>
      <b/>
      <sz val="18"/>
      <color rgb="FF0070C0"/>
      <name val="Calibri"/>
      <family val="2"/>
      <scheme val="minor"/>
    </font>
    <font>
      <b/>
      <sz val="11"/>
      <color indexed="10"/>
      <name val="Calibri"/>
      <family val="2"/>
    </font>
    <font>
      <b/>
      <sz val="16"/>
      <color rgb="FFFF0000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indexed="81"/>
      <name val="Tahoma"/>
      <family val="2"/>
    </font>
    <font>
      <b/>
      <sz val="11"/>
      <color indexed="81"/>
      <name val="Tahoma"/>
      <family val="2"/>
    </font>
    <font>
      <sz val="11"/>
      <color indexed="81"/>
      <name val="Calibri"/>
      <family val="2"/>
    </font>
    <font>
      <sz val="12"/>
      <color rgb="FF000000"/>
      <name val="Calibri"/>
      <family val="2"/>
      <charset val="1"/>
    </font>
    <font>
      <b/>
      <sz val="12"/>
      <color rgb="FFC9211E"/>
      <name val="Calibri"/>
      <family val="2"/>
      <charset val="1"/>
    </font>
    <font>
      <sz val="11"/>
      <color rgb="FFC9211E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u/>
      <sz val="11"/>
      <color rgb="FF0000FF"/>
      <name val="Calibri"/>
      <family val="2"/>
    </font>
    <font>
      <b/>
      <sz val="14"/>
      <name val="Calibri"/>
      <family val="2"/>
    </font>
    <font>
      <sz val="11"/>
      <color rgb="FFC9211E"/>
      <name val="Calibri"/>
      <family val="2"/>
    </font>
    <font>
      <b/>
      <sz val="12"/>
      <color rgb="FF000000"/>
      <name val="Calibri"/>
      <family val="2"/>
    </font>
    <font>
      <b/>
      <sz val="16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FCD5B5"/>
        <bgColor rgb="FFF2DCDB"/>
      </patternFill>
    </fill>
    <fill>
      <patternFill patternType="solid">
        <fgColor rgb="FFFFFF00"/>
        <bgColor rgb="FFFFFF00"/>
      </patternFill>
    </fill>
    <fill>
      <patternFill patternType="solid">
        <fgColor rgb="FFF2F2F2"/>
        <bgColor rgb="FFEEECE1"/>
      </patternFill>
    </fill>
    <fill>
      <patternFill patternType="solid">
        <fgColor rgb="FFF2DCDB"/>
        <bgColor rgb="FFDDDDDD"/>
      </patternFill>
    </fill>
    <fill>
      <patternFill patternType="solid">
        <fgColor rgb="FFC6D9F1"/>
        <bgColor rgb="FFB7DEE8"/>
      </patternFill>
    </fill>
    <fill>
      <patternFill patternType="solid">
        <fgColor rgb="FFD9D9D9"/>
        <bgColor rgb="FFDDDDDD"/>
      </patternFill>
    </fill>
    <fill>
      <patternFill patternType="solid">
        <fgColor rgb="FFDDD9C3"/>
        <bgColor rgb="FFD9D9D9"/>
      </patternFill>
    </fill>
    <fill>
      <patternFill patternType="solid">
        <fgColor rgb="FFDDDDDD"/>
        <bgColor rgb="FFD9D9D9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CCCCC"/>
        <bgColor rgb="FFB4C7DC"/>
      </patternFill>
    </fill>
    <fill>
      <patternFill patternType="solid">
        <fgColor rgb="FFDCE6F2"/>
        <bgColor rgb="FFDEE6EF"/>
      </patternFill>
    </fill>
    <fill>
      <patternFill patternType="solid">
        <fgColor rgb="FFF2F2F2"/>
        <bgColor rgb="FFDEE6EF"/>
      </patternFill>
    </fill>
    <fill>
      <patternFill patternType="solid">
        <fgColor theme="3" tint="0.59999389629810485"/>
        <bgColor rgb="FFDCE6F2"/>
      </patternFill>
    </fill>
    <fill>
      <patternFill patternType="solid">
        <fgColor theme="4" tint="0.79998168889431442"/>
        <bgColor rgb="FFCCCCCC"/>
      </patternFill>
    </fill>
  </fills>
  <borders count="2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2">
    <xf numFmtId="0" fontId="0" fillId="0" borderId="0"/>
    <xf numFmtId="164" fontId="19" fillId="0" borderId="0" applyBorder="0" applyProtection="0"/>
    <xf numFmtId="0" fontId="2" fillId="0" borderId="0" applyBorder="0" applyProtection="0"/>
    <xf numFmtId="0" fontId="2" fillId="0" borderId="0" applyBorder="0" applyProtection="0"/>
    <xf numFmtId="0" fontId="2" fillId="0" borderId="0" applyBorder="0" applyProtection="0"/>
    <xf numFmtId="0" fontId="2" fillId="0" borderId="0" applyBorder="0" applyProtection="0"/>
    <xf numFmtId="0" fontId="19" fillId="0" borderId="0"/>
    <xf numFmtId="0" fontId="19" fillId="0" borderId="0"/>
    <xf numFmtId="164" fontId="19" fillId="0" borderId="0" applyBorder="0" applyProtection="0"/>
    <xf numFmtId="0" fontId="23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69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center"/>
    </xf>
    <xf numFmtId="0" fontId="4" fillId="2" borderId="0" xfId="2" applyFont="1" applyFill="1" applyBorder="1" applyAlignment="1" applyProtection="1"/>
    <xf numFmtId="0" fontId="0" fillId="2" borderId="1" xfId="0" applyFont="1" applyFill="1" applyBorder="1" applyAlignment="1">
      <alignment horizontal="center"/>
    </xf>
    <xf numFmtId="0" fontId="0" fillId="2" borderId="2" xfId="0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0" fillId="2" borderId="5" xfId="0" applyFont="1" applyFill="1" applyBorder="1" applyAlignment="1">
      <alignment horizontal="center"/>
    </xf>
    <xf numFmtId="0" fontId="0" fillId="2" borderId="6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/>
    </xf>
    <xf numFmtId="0" fontId="0" fillId="2" borderId="8" xfId="0" applyFont="1" applyFill="1" applyBorder="1" applyAlignment="1">
      <alignment horizontal="center"/>
    </xf>
    <xf numFmtId="0" fontId="5" fillId="2" borderId="9" xfId="0" applyFont="1" applyFill="1" applyBorder="1"/>
    <xf numFmtId="0" fontId="0" fillId="2" borderId="10" xfId="0" applyFill="1" applyBorder="1"/>
    <xf numFmtId="1" fontId="3" fillId="2" borderId="0" xfId="0" applyNumberFormat="1" applyFont="1" applyFill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0" fillId="2" borderId="12" xfId="0" applyFont="1" applyFill="1" applyBorder="1"/>
    <xf numFmtId="0" fontId="2" fillId="0" borderId="0" xfId="2" applyFont="1" applyBorder="1" applyProtection="1"/>
    <xf numFmtId="0" fontId="5" fillId="3" borderId="13" xfId="0" applyFont="1" applyFill="1" applyBorder="1" applyAlignment="1">
      <alignment horizontal="center"/>
    </xf>
    <xf numFmtId="0" fontId="5" fillId="3" borderId="0" xfId="0" applyFont="1" applyFill="1"/>
    <xf numFmtId="11" fontId="5" fillId="3" borderId="13" xfId="0" applyNumberFormat="1" applyFont="1" applyFill="1" applyBorder="1" applyAlignment="1">
      <alignment horizontal="center"/>
    </xf>
    <xf numFmtId="11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5" fillId="4" borderId="13" xfId="0" applyFont="1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0" fontId="0" fillId="4" borderId="13" xfId="0" applyFont="1" applyFill="1" applyBorder="1" applyAlignment="1">
      <alignment horizontal="center"/>
    </xf>
    <xf numFmtId="0" fontId="0" fillId="4" borderId="0" xfId="0" applyFill="1" applyAlignment="1">
      <alignment horizontal="center"/>
    </xf>
    <xf numFmtId="165" fontId="0" fillId="4" borderId="13" xfId="0" applyNumberFormat="1" applyFill="1" applyBorder="1" applyAlignment="1">
      <alignment horizontal="center"/>
    </xf>
    <xf numFmtId="0" fontId="6" fillId="4" borderId="13" xfId="0" applyFont="1" applyFill="1" applyBorder="1" applyAlignment="1">
      <alignment horizontal="center"/>
    </xf>
    <xf numFmtId="165" fontId="7" fillId="4" borderId="13" xfId="0" applyNumberFormat="1" applyFont="1" applyFill="1" applyBorder="1" applyAlignment="1">
      <alignment horizontal="center"/>
    </xf>
    <xf numFmtId="165" fontId="5" fillId="4" borderId="13" xfId="0" applyNumberFormat="1" applyFont="1" applyFill="1" applyBorder="1" applyAlignment="1">
      <alignment horizontal="center"/>
    </xf>
    <xf numFmtId="0" fontId="2" fillId="0" borderId="13" xfId="2" applyFont="1" applyBorder="1" applyProtection="1"/>
    <xf numFmtId="166" fontId="6" fillId="4" borderId="13" xfId="0" applyNumberFormat="1" applyFont="1" applyFill="1" applyBorder="1" applyAlignment="1">
      <alignment horizontal="center"/>
    </xf>
    <xf numFmtId="11" fontId="8" fillId="0" borderId="13" xfId="0" applyNumberFormat="1" applyFont="1" applyBorder="1" applyAlignment="1">
      <alignment horizontal="center"/>
    </xf>
    <xf numFmtId="11" fontId="8" fillId="6" borderId="13" xfId="0" applyNumberFormat="1" applyFont="1" applyFill="1" applyBorder="1" applyAlignment="1">
      <alignment horizontal="center"/>
    </xf>
    <xf numFmtId="0" fontId="9" fillId="0" borderId="13" xfId="0" applyFont="1" applyBorder="1"/>
    <xf numFmtId="4" fontId="3" fillId="0" borderId="13" xfId="0" applyNumberFormat="1" applyFont="1" applyBorder="1" applyAlignment="1">
      <alignment horizontal="center"/>
    </xf>
    <xf numFmtId="0" fontId="4" fillId="0" borderId="0" xfId="2" applyFont="1" applyBorder="1" applyProtection="1"/>
    <xf numFmtId="0" fontId="4" fillId="0" borderId="0" xfId="2" applyFont="1" applyBorder="1" applyAlignment="1" applyProtection="1"/>
    <xf numFmtId="0" fontId="11" fillId="0" borderId="0" xfId="2" applyFont="1" applyBorder="1" applyAlignment="1" applyProtection="1"/>
    <xf numFmtId="0" fontId="0" fillId="7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5" fillId="6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0" fillId="3" borderId="0" xfId="0" applyFont="1" applyFill="1" applyAlignment="1">
      <alignment horizontal="center"/>
    </xf>
    <xf numFmtId="168" fontId="13" fillId="5" borderId="0" xfId="0" applyNumberFormat="1" applyFont="1" applyFill="1" applyAlignment="1">
      <alignment horizontal="center"/>
    </xf>
    <xf numFmtId="0" fontId="13" fillId="0" borderId="0" xfId="0" applyFont="1" applyAlignment="1">
      <alignment horizontal="center"/>
    </xf>
    <xf numFmtId="0" fontId="13" fillId="6" borderId="0" xfId="0" applyFont="1" applyFill="1" applyAlignment="1">
      <alignment horizontal="center"/>
    </xf>
    <xf numFmtId="0" fontId="14" fillId="0" borderId="0" xfId="0" applyFont="1" applyAlignment="1">
      <alignment horizontal="center"/>
    </xf>
    <xf numFmtId="0" fontId="13" fillId="3" borderId="0" xfId="0" applyFont="1" applyFill="1" applyAlignment="1">
      <alignment horizontal="center"/>
    </xf>
    <xf numFmtId="168" fontId="5" fillId="0" borderId="0" xfId="0" applyNumberFormat="1" applyFont="1" applyAlignment="1">
      <alignment horizontal="center"/>
    </xf>
    <xf numFmtId="1" fontId="5" fillId="3" borderId="0" xfId="0" applyNumberFormat="1" applyFont="1" applyFill="1" applyAlignment="1">
      <alignment horizontal="center"/>
    </xf>
    <xf numFmtId="0" fontId="2" fillId="8" borderId="0" xfId="2" applyFont="1" applyFill="1" applyBorder="1" applyProtection="1"/>
    <xf numFmtId="0" fontId="0" fillId="8" borderId="0" xfId="0" applyFill="1"/>
    <xf numFmtId="168" fontId="5" fillId="6" borderId="0" xfId="0" applyNumberFormat="1" applyFont="1" applyFill="1" applyAlignment="1">
      <alignment horizontal="center"/>
    </xf>
    <xf numFmtId="168" fontId="12" fillId="0" borderId="0" xfId="0" applyNumberFormat="1" applyFont="1" applyAlignment="1">
      <alignment horizontal="center"/>
    </xf>
    <xf numFmtId="0" fontId="0" fillId="5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13" fillId="7" borderId="0" xfId="0" applyFont="1" applyFill="1" applyAlignment="1">
      <alignment horizontal="center"/>
    </xf>
    <xf numFmtId="1" fontId="13" fillId="5" borderId="0" xfId="0" applyNumberFormat="1" applyFont="1" applyFill="1" applyAlignment="1">
      <alignment horizontal="center"/>
    </xf>
    <xf numFmtId="164" fontId="19" fillId="5" borderId="0" xfId="1" applyFill="1" applyBorder="1" applyAlignment="1" applyProtection="1">
      <alignment horizontal="center"/>
    </xf>
    <xf numFmtId="1" fontId="5" fillId="0" borderId="0" xfId="0" applyNumberFormat="1" applyFont="1" applyAlignment="1">
      <alignment horizontal="center"/>
    </xf>
    <xf numFmtId="1" fontId="5" fillId="6" borderId="0" xfId="0" applyNumberFormat="1" applyFont="1" applyFill="1" applyAlignment="1">
      <alignment horizontal="center"/>
    </xf>
    <xf numFmtId="0" fontId="0" fillId="6" borderId="0" xfId="0" applyFill="1" applyAlignment="1">
      <alignment horizontal="center"/>
    </xf>
    <xf numFmtId="1" fontId="0" fillId="3" borderId="0" xfId="0" applyNumberFormat="1" applyFill="1" applyAlignment="1">
      <alignment horizontal="center"/>
    </xf>
    <xf numFmtId="0" fontId="13" fillId="5" borderId="0" xfId="0" applyFont="1" applyFill="1" applyAlignment="1">
      <alignment horizontal="center"/>
    </xf>
    <xf numFmtId="2" fontId="0" fillId="0" borderId="0" xfId="0" applyNumberFormat="1"/>
    <xf numFmtId="0" fontId="9" fillId="7" borderId="0" xfId="0" applyFont="1" applyFill="1" applyAlignment="1">
      <alignment horizontal="center"/>
    </xf>
    <xf numFmtId="0" fontId="15" fillId="5" borderId="0" xfId="0" applyFont="1" applyFill="1" applyAlignment="1">
      <alignment horizontal="center"/>
    </xf>
    <xf numFmtId="1" fontId="15" fillId="0" borderId="0" xfId="0" applyNumberFormat="1" applyFont="1" applyAlignment="1">
      <alignment horizontal="center"/>
    </xf>
    <xf numFmtId="1" fontId="15" fillId="6" borderId="0" xfId="0" applyNumberFormat="1" applyFont="1" applyFill="1" applyAlignment="1">
      <alignment horizontal="center"/>
    </xf>
    <xf numFmtId="1" fontId="15" fillId="3" borderId="0" xfId="0" applyNumberFormat="1" applyFont="1" applyFill="1" applyAlignment="1">
      <alignment horizontal="center"/>
    </xf>
    <xf numFmtId="0" fontId="16" fillId="0" borderId="0" xfId="0" applyFont="1"/>
    <xf numFmtId="1" fontId="17" fillId="0" borderId="14" xfId="0" applyNumberFormat="1" applyFont="1" applyBorder="1" applyAlignment="1">
      <alignment horizontal="center"/>
    </xf>
    <xf numFmtId="167" fontId="0" fillId="0" borderId="0" xfId="0" applyNumberFormat="1"/>
    <xf numFmtId="0" fontId="2" fillId="0" borderId="0" xfId="2"/>
    <xf numFmtId="167" fontId="10" fillId="9" borderId="15" xfId="0" applyNumberFormat="1" applyFont="1" applyFill="1" applyBorder="1" applyAlignment="1">
      <alignment horizontal="center"/>
    </xf>
    <xf numFmtId="167" fontId="10" fillId="9" borderId="16" xfId="0" applyNumberFormat="1" applyFont="1" applyFill="1" applyBorder="1" applyAlignment="1">
      <alignment horizontal="center"/>
    </xf>
    <xf numFmtId="167" fontId="10" fillId="9" borderId="17" xfId="0" applyNumberFormat="1" applyFont="1" applyFill="1" applyBorder="1" applyAlignment="1">
      <alignment horizontal="center"/>
    </xf>
    <xf numFmtId="0" fontId="17" fillId="0" borderId="18" xfId="0" applyFont="1" applyBorder="1" applyAlignment="1">
      <alignment horizontal="center"/>
    </xf>
    <xf numFmtId="2" fontId="17" fillId="0" borderId="19" xfId="0" applyNumberFormat="1" applyFont="1" applyBorder="1" applyAlignment="1">
      <alignment horizontal="center"/>
    </xf>
    <xf numFmtId="2" fontId="18" fillId="3" borderId="22" xfId="0" applyNumberFormat="1" applyFont="1" applyFill="1" applyBorder="1" applyAlignment="1">
      <alignment horizontal="center"/>
    </xf>
    <xf numFmtId="167" fontId="21" fillId="10" borderId="20" xfId="0" applyNumberFormat="1" applyFont="1" applyFill="1" applyBorder="1" applyAlignment="1">
      <alignment horizontal="center"/>
    </xf>
    <xf numFmtId="1" fontId="20" fillId="10" borderId="21" xfId="0" applyNumberFormat="1" applyFont="1" applyFill="1" applyBorder="1" applyAlignment="1">
      <alignment horizontal="center"/>
    </xf>
    <xf numFmtId="1" fontId="0" fillId="0" borderId="0" xfId="0" applyNumberFormat="1"/>
    <xf numFmtId="2" fontId="17" fillId="0" borderId="14" xfId="0" applyNumberFormat="1" applyFont="1" applyBorder="1" applyAlignment="1">
      <alignment horizontal="center"/>
    </xf>
    <xf numFmtId="2" fontId="20" fillId="10" borderId="21" xfId="0" applyNumberFormat="1" applyFont="1" applyFill="1" applyBorder="1" applyAlignment="1">
      <alignment horizontal="center"/>
    </xf>
    <xf numFmtId="164" fontId="19" fillId="0" borderId="0" xfId="1" applyBorder="1" applyAlignment="1" applyProtection="1">
      <alignment horizontal="center"/>
    </xf>
    <xf numFmtId="169" fontId="19" fillId="8" borderId="0" xfId="1" applyNumberFormat="1" applyFill="1" applyBorder="1" applyAlignment="1" applyProtection="1">
      <alignment horizontal="center"/>
    </xf>
    <xf numFmtId="0" fontId="5" fillId="11" borderId="0" xfId="0" applyFont="1" applyFill="1" applyAlignment="1">
      <alignment horizontal="center"/>
    </xf>
    <xf numFmtId="0" fontId="13" fillId="11" borderId="0" xfId="0" applyFont="1" applyFill="1" applyAlignment="1">
      <alignment horizontal="center"/>
    </xf>
    <xf numFmtId="168" fontId="5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1" fontId="5" fillId="11" borderId="0" xfId="0" applyNumberFormat="1" applyFont="1" applyFill="1" applyAlignment="1">
      <alignment horizontal="center"/>
    </xf>
    <xf numFmtId="168" fontId="0" fillId="11" borderId="0" xfId="0" applyNumberFormat="1" applyFill="1" applyAlignment="1">
      <alignment horizontal="center"/>
    </xf>
    <xf numFmtId="1" fontId="15" fillId="11" borderId="0" xfId="0" applyNumberFormat="1" applyFont="1" applyFill="1" applyAlignment="1">
      <alignment horizontal="center"/>
    </xf>
    <xf numFmtId="0" fontId="24" fillId="0" borderId="0" xfId="9" applyFont="1"/>
    <xf numFmtId="0" fontId="1" fillId="0" borderId="0" xfId="10"/>
    <xf numFmtId="0" fontId="1" fillId="12" borderId="0" xfId="10" applyFill="1"/>
    <xf numFmtId="0" fontId="1" fillId="13" borderId="0" xfId="10" applyFill="1" applyAlignment="1">
      <alignment horizontal="center"/>
    </xf>
    <xf numFmtId="167" fontId="22" fillId="13" borderId="0" xfId="10" applyNumberFormat="1" applyFont="1" applyFill="1" applyAlignment="1">
      <alignment horizontal="center"/>
    </xf>
    <xf numFmtId="0" fontId="25" fillId="0" borderId="0" xfId="10" applyFont="1" applyAlignment="1">
      <alignment horizontal="center"/>
    </xf>
    <xf numFmtId="0" fontId="26" fillId="14" borderId="0" xfId="10" applyFont="1" applyFill="1" applyAlignment="1">
      <alignment horizontal="center"/>
    </xf>
    <xf numFmtId="2" fontId="22" fillId="13" borderId="0" xfId="10" applyNumberFormat="1" applyFont="1" applyFill="1" applyAlignment="1">
      <alignment horizontal="center"/>
    </xf>
    <xf numFmtId="0" fontId="1" fillId="14" borderId="0" xfId="10" applyFill="1" applyAlignment="1">
      <alignment horizontal="center"/>
    </xf>
    <xf numFmtId="0" fontId="22" fillId="14" borderId="0" xfId="10" applyFont="1" applyFill="1" applyAlignment="1">
      <alignment horizontal="center"/>
    </xf>
    <xf numFmtId="165" fontId="22" fillId="14" borderId="0" xfId="11" applyNumberFormat="1" applyFont="1" applyFill="1" applyAlignment="1">
      <alignment horizontal="center"/>
    </xf>
    <xf numFmtId="10" fontId="22" fillId="14" borderId="0" xfId="11" applyNumberFormat="1" applyFont="1" applyFill="1" applyAlignment="1">
      <alignment horizontal="center"/>
    </xf>
    <xf numFmtId="168" fontId="27" fillId="13" borderId="0" xfId="10" applyNumberFormat="1" applyFont="1" applyFill="1" applyAlignment="1">
      <alignment horizontal="center"/>
    </xf>
    <xf numFmtId="0" fontId="1" fillId="0" borderId="0" xfId="10" applyAlignment="1">
      <alignment horizontal="center"/>
    </xf>
    <xf numFmtId="1" fontId="1" fillId="10" borderId="0" xfId="10" applyNumberFormat="1" applyFill="1" applyAlignment="1">
      <alignment horizontal="center"/>
    </xf>
    <xf numFmtId="0" fontId="28" fillId="14" borderId="0" xfId="10" applyFont="1" applyFill="1" applyAlignment="1">
      <alignment horizontal="center"/>
    </xf>
    <xf numFmtId="165" fontId="28" fillId="14" borderId="0" xfId="11" applyNumberFormat="1" applyFont="1" applyFill="1" applyAlignment="1">
      <alignment horizontal="center"/>
    </xf>
    <xf numFmtId="0" fontId="1" fillId="13" borderId="0" xfId="10" applyFill="1"/>
    <xf numFmtId="1" fontId="22" fillId="14" borderId="0" xfId="10" applyNumberFormat="1" applyFont="1" applyFill="1" applyAlignment="1">
      <alignment horizontal="center"/>
    </xf>
    <xf numFmtId="0" fontId="22" fillId="13" borderId="0" xfId="10" applyFont="1" applyFill="1" applyAlignment="1">
      <alignment horizontal="center"/>
    </xf>
    <xf numFmtId="0" fontId="22" fillId="10" borderId="0" xfId="10" applyFont="1" applyFill="1" applyAlignment="1">
      <alignment horizontal="center"/>
    </xf>
    <xf numFmtId="0" fontId="1" fillId="15" borderId="0" xfId="10" applyFill="1" applyAlignment="1">
      <alignment horizontal="center"/>
    </xf>
    <xf numFmtId="0" fontId="29" fillId="13" borderId="0" xfId="10" applyFont="1" applyFill="1"/>
    <xf numFmtId="168" fontId="1" fillId="13" borderId="0" xfId="10" applyNumberFormat="1" applyFont="1" applyFill="1" applyAlignment="1">
      <alignment horizontal="center"/>
    </xf>
    <xf numFmtId="11" fontId="1" fillId="15" borderId="0" xfId="10" applyNumberFormat="1" applyFill="1" applyAlignment="1">
      <alignment horizontal="center"/>
    </xf>
    <xf numFmtId="0" fontId="30" fillId="0" borderId="0" xfId="10" applyFont="1" applyAlignment="1">
      <alignment horizontal="center"/>
    </xf>
    <xf numFmtId="168" fontId="33" fillId="0" borderId="0" xfId="10" applyNumberFormat="1" applyFont="1" applyAlignment="1">
      <alignment horizontal="center"/>
    </xf>
    <xf numFmtId="0" fontId="26" fillId="0" borderId="0" xfId="10" applyFont="1" applyAlignment="1">
      <alignment horizontal="center"/>
    </xf>
    <xf numFmtId="168" fontId="35" fillId="0" borderId="0" xfId="10" applyNumberFormat="1" applyFont="1" applyAlignment="1">
      <alignment horizontal="center"/>
    </xf>
    <xf numFmtId="168" fontId="22" fillId="10" borderId="0" xfId="10" applyNumberFormat="1" applyFont="1" applyFill="1" applyAlignment="1">
      <alignment horizontal="center"/>
    </xf>
    <xf numFmtId="0" fontId="0" fillId="0" borderId="13" xfId="0" applyBorder="1"/>
    <xf numFmtId="0" fontId="36" fillId="0" borderId="0" xfId="10" applyFont="1" applyAlignment="1">
      <alignment horizontal="center"/>
    </xf>
    <xf numFmtId="0" fontId="37" fillId="0" borderId="0" xfId="10" applyFont="1"/>
    <xf numFmtId="0" fontId="22" fillId="0" borderId="0" xfId="10" applyFont="1" applyAlignment="1">
      <alignment horizontal="center"/>
    </xf>
    <xf numFmtId="11" fontId="1" fillId="0" borderId="0" xfId="10" applyNumberFormat="1"/>
    <xf numFmtId="0" fontId="38" fillId="0" borderId="0" xfId="10" applyFont="1"/>
    <xf numFmtId="168" fontId="38" fillId="0" borderId="0" xfId="10" applyNumberFormat="1" applyFont="1" applyAlignment="1">
      <alignment horizontal="center"/>
    </xf>
    <xf numFmtId="168" fontId="1" fillId="0" borderId="0" xfId="10" applyNumberFormat="1" applyAlignment="1">
      <alignment horizontal="center"/>
    </xf>
    <xf numFmtId="9" fontId="0" fillId="0" borderId="0" xfId="11" applyFont="1"/>
    <xf numFmtId="0" fontId="5" fillId="16" borderId="0" xfId="0" applyFont="1" applyFill="1" applyAlignment="1">
      <alignment horizontal="center"/>
    </xf>
    <xf numFmtId="170" fontId="0" fillId="0" borderId="0" xfId="0" applyNumberFormat="1" applyAlignment="1">
      <alignment horizontal="center"/>
    </xf>
    <xf numFmtId="0" fontId="44" fillId="0" borderId="0" xfId="0" applyFont="1"/>
    <xf numFmtId="0" fontId="0" fillId="18" borderId="0" xfId="0" applyFont="1" applyFill="1" applyAlignment="1">
      <alignment horizontal="center"/>
    </xf>
    <xf numFmtId="0" fontId="0" fillId="18" borderId="0" xfId="0" applyFill="1" applyAlignment="1">
      <alignment horizontal="center"/>
    </xf>
    <xf numFmtId="0" fontId="5" fillId="16" borderId="0" xfId="0" applyFont="1" applyFill="1"/>
    <xf numFmtId="0" fontId="0" fillId="20" borderId="23" xfId="0" applyFill="1" applyBorder="1"/>
    <xf numFmtId="0" fontId="0" fillId="20" borderId="24" xfId="0" applyFont="1" applyFill="1" applyBorder="1" applyAlignment="1">
      <alignment horizontal="center"/>
    </xf>
    <xf numFmtId="166" fontId="0" fillId="20" borderId="24" xfId="0" applyNumberFormat="1" applyFill="1" applyBorder="1" applyAlignment="1">
      <alignment horizontal="center"/>
    </xf>
    <xf numFmtId="0" fontId="0" fillId="20" borderId="25" xfId="0" applyFill="1" applyBorder="1"/>
    <xf numFmtId="0" fontId="5" fillId="16" borderId="13" xfId="0" applyFont="1" applyFill="1" applyBorder="1" applyAlignment="1">
      <alignment horizontal="center"/>
    </xf>
    <xf numFmtId="170" fontId="0" fillId="0" borderId="13" xfId="0" applyNumberFormat="1" applyBorder="1" applyAlignment="1">
      <alignment horizontal="center"/>
    </xf>
    <xf numFmtId="166" fontId="5" fillId="3" borderId="13" xfId="1" applyNumberFormat="1" applyFont="1" applyFill="1" applyBorder="1" applyAlignment="1" applyProtection="1">
      <alignment horizontal="center"/>
    </xf>
    <xf numFmtId="171" fontId="0" fillId="0" borderId="13" xfId="0" applyNumberFormat="1" applyBorder="1" applyAlignment="1">
      <alignment horizontal="center"/>
    </xf>
    <xf numFmtId="11" fontId="0" fillId="0" borderId="0" xfId="0" applyNumberFormat="1" applyAlignment="1">
      <alignment horizontal="center"/>
    </xf>
    <xf numFmtId="170" fontId="0" fillId="0" borderId="26" xfId="0" applyNumberFormat="1" applyBorder="1" applyAlignment="1">
      <alignment horizontal="center"/>
    </xf>
    <xf numFmtId="0" fontId="42" fillId="19" borderId="27" xfId="0" applyFont="1" applyFill="1" applyBorder="1" applyAlignment="1">
      <alignment horizontal="center"/>
    </xf>
    <xf numFmtId="0" fontId="43" fillId="19" borderId="27" xfId="0" applyFont="1" applyFill="1" applyBorder="1" applyAlignment="1">
      <alignment horizontal="center"/>
    </xf>
    <xf numFmtId="0" fontId="0" fillId="17" borderId="2" xfId="0" applyFont="1" applyFill="1" applyBorder="1" applyAlignment="1">
      <alignment horizontal="center"/>
    </xf>
    <xf numFmtId="0" fontId="45" fillId="17" borderId="3" xfId="0" applyFont="1" applyFill="1" applyBorder="1" applyAlignment="1">
      <alignment horizontal="center"/>
    </xf>
    <xf numFmtId="0" fontId="0" fillId="17" borderId="5" xfId="0" applyFont="1" applyFill="1" applyBorder="1" applyAlignment="1">
      <alignment horizontal="center"/>
    </xf>
    <xf numFmtId="0" fontId="45" fillId="17" borderId="6" xfId="0" applyFont="1" applyFill="1" applyBorder="1" applyAlignment="1">
      <alignment horizontal="center"/>
    </xf>
    <xf numFmtId="0" fontId="0" fillId="17" borderId="7" xfId="0" applyFont="1" applyFill="1" applyBorder="1" applyAlignment="1">
      <alignment horizontal="center"/>
    </xf>
    <xf numFmtId="0" fontId="45" fillId="17" borderId="8" xfId="0" applyFont="1" applyFill="1" applyBorder="1" applyAlignment="1">
      <alignment horizontal="center"/>
    </xf>
    <xf numFmtId="0" fontId="47" fillId="0" borderId="0" xfId="0" applyFont="1"/>
    <xf numFmtId="0" fontId="46" fillId="0" borderId="0" xfId="2" applyFont="1" applyFill="1"/>
    <xf numFmtId="0" fontId="0" fillId="0" borderId="0" xfId="0" applyFill="1"/>
    <xf numFmtId="170" fontId="5" fillId="16" borderId="0" xfId="0" applyNumberFormat="1" applyFont="1" applyFill="1" applyAlignment="1">
      <alignment horizontal="center"/>
    </xf>
    <xf numFmtId="10" fontId="5" fillId="3" borderId="13" xfId="1" applyNumberFormat="1" applyFont="1" applyFill="1" applyBorder="1" applyAlignment="1" applyProtection="1">
      <alignment horizontal="center"/>
    </xf>
    <xf numFmtId="10" fontId="0" fillId="0" borderId="0" xfId="0" applyNumberFormat="1"/>
    <xf numFmtId="0" fontId="49" fillId="0" borderId="0" xfId="0" applyFont="1"/>
    <xf numFmtId="0" fontId="50" fillId="0" borderId="0" xfId="0" applyFont="1"/>
  </cellXfs>
  <cellStyles count="12">
    <cellStyle name="Lien hypertexte" xfId="2" builtinId="8"/>
    <cellStyle name="Lien hypertexte 2" xfId="3"/>
    <cellStyle name="Lien hypertexte 2 2" xfId="4"/>
    <cellStyle name="Lien hypertexte 3" xfId="5"/>
    <cellStyle name="Lien hypertexte 3 2" xfId="9"/>
    <cellStyle name="Normal" xfId="0" builtinId="0"/>
    <cellStyle name="Normal 2" xfId="6"/>
    <cellStyle name="Normal 2 2" xfId="10"/>
    <cellStyle name="Normal 3" xfId="7"/>
    <cellStyle name="Pourcentage" xfId="1" builtinId="5"/>
    <cellStyle name="Pourcentage 2" xfId="8"/>
    <cellStyle name="Pourcentage 2 2" xfId="11"/>
  </cellStyles>
  <dxfs count="0"/>
  <tableStyles count="0" defaultTableStyle="TableStyleMedium2" defaultPivotStyle="PivotStyleLight16"/>
  <colors>
    <indexedColors>
      <rgbColor rgb="FF000000"/>
      <rgbColor rgb="FFF2F2F2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DDD9C3"/>
      <rgbColor rgb="FF808080"/>
      <rgbColor rgb="FF9999FF"/>
      <rgbColor rgb="FF993366"/>
      <rgbColor rgb="FFEEECE1"/>
      <rgbColor rgb="FFD9D9D9"/>
      <rgbColor rgb="FF660066"/>
      <rgbColor rgb="FFFF8080"/>
      <rgbColor rgb="FF0070C0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DDD"/>
      <rgbColor rgb="FFF2DCDB"/>
      <rgbColor rgb="FFB7DEE8"/>
      <rgbColor rgb="FFFF99CC"/>
      <rgbColor rgb="FFCC99FF"/>
      <rgbColor rgb="FFFCD5B5"/>
      <rgbColor rgb="FF558ED5"/>
      <rgbColor rgb="FF33CCCC"/>
      <rgbColor rgb="FF99CC00"/>
      <rgbColor rgb="FFFFCC00"/>
      <rgbColor rgb="FFFF9900"/>
      <rgbColor rgb="FFFF6600"/>
      <rgbColor rgb="FF3465A4"/>
      <rgbColor rgb="FFA6A6A6"/>
      <rgbColor rgb="FF003366"/>
      <rgbColor rgb="FF339966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Scroll" dx="19" fmlaLink="C6" horiz="1" inc="5" max="700" page="10" val="348"/>
</file>

<file path=xl/ctrlProps/ctrlProp2.xml><?xml version="1.0" encoding="utf-8"?>
<formControlPr xmlns="http://schemas.microsoft.com/office/spreadsheetml/2009/9/main" objectType="Scroll" dx="19" fmlaLink="C7" horiz="1" inc="5" max="200" page="10" val="100"/>
</file>

<file path=xl/ctrlProps/ctrlProp3.xml><?xml version="1.0" encoding="utf-8"?>
<formControlPr xmlns="http://schemas.microsoft.com/office/spreadsheetml/2009/9/main" objectType="Scroll" dx="19" fmlaLink="J3" horiz="1" max="150" min="50" page="10" val="110"/>
</file>

<file path=xl/ctrlProps/ctrlProp4.xml><?xml version="1.0" encoding="utf-8"?>
<formControlPr xmlns="http://schemas.microsoft.com/office/spreadsheetml/2009/9/main" objectType="Scroll" dx="19" fmlaLink="K9" horiz="1" max="40" min="5" page="10" val="17"/>
</file>

<file path=xl/ctrlProps/ctrlProp5.xml><?xml version="1.0" encoding="utf-8"?>
<formControlPr xmlns="http://schemas.microsoft.com/office/spreadsheetml/2009/9/main" objectType="Scroll" dx="19" fmlaLink="B15" horiz="1" inc="2" max="350" min="270" page="10" val="298"/>
</file>

<file path=xl/ctrlProps/ctrlProp6.xml><?xml version="1.0" encoding="utf-8"?>
<formControlPr xmlns="http://schemas.microsoft.com/office/spreadsheetml/2009/9/main" objectType="Scroll" dx="19" fmlaLink="C22" horiz="1" max="250" min="228" page="10" val="239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7" Type="http://schemas.openxmlformats.org/officeDocument/2006/relationships/image" Target="../media/image9.png"/><Relationship Id="rId2" Type="http://schemas.openxmlformats.org/officeDocument/2006/relationships/image" Target="../media/image4.jpe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231480</xdr:colOff>
      <xdr:row>2</xdr:row>
      <xdr:rowOff>53340</xdr:rowOff>
    </xdr:from>
    <xdr:to>
      <xdr:col>9</xdr:col>
      <xdr:colOff>363960</xdr:colOff>
      <xdr:row>15</xdr:row>
      <xdr:rowOff>103620</xdr:rowOff>
    </xdr:to>
    <xdr:pic>
      <xdr:nvPicPr>
        <xdr:cNvPr id="2" name="Image 1"/>
        <xdr:cNvPicPr/>
      </xdr:nvPicPr>
      <xdr:blipFill>
        <a:blip xmlns:r="http://schemas.openxmlformats.org/officeDocument/2006/relationships" r:embed="rId1"/>
        <a:stretch/>
      </xdr:blipFill>
      <xdr:spPr>
        <a:xfrm>
          <a:off x="3744300" y="495300"/>
          <a:ext cx="3919620" cy="2458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502920</xdr:colOff>
      <xdr:row>0</xdr:row>
      <xdr:rowOff>94680</xdr:rowOff>
    </xdr:from>
    <xdr:to>
      <xdr:col>14</xdr:col>
      <xdr:colOff>173566</xdr:colOff>
      <xdr:row>15</xdr:row>
      <xdr:rowOff>90120</xdr:rowOff>
    </xdr:to>
    <xdr:pic>
      <xdr:nvPicPr>
        <xdr:cNvPr id="3" name="Image 2"/>
        <xdr:cNvPicPr/>
      </xdr:nvPicPr>
      <xdr:blipFill>
        <a:blip xmlns:r="http://schemas.openxmlformats.org/officeDocument/2006/relationships" r:embed="rId2"/>
        <a:stretch/>
      </xdr:blipFill>
      <xdr:spPr>
        <a:xfrm>
          <a:off x="7802880" y="94680"/>
          <a:ext cx="4015740" cy="2845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5</xdr:row>
          <xdr:rowOff>22860</xdr:rowOff>
        </xdr:from>
        <xdr:to>
          <xdr:col>2</xdr:col>
          <xdr:colOff>807720</xdr:colOff>
          <xdr:row>5</xdr:row>
          <xdr:rowOff>175260</xdr:rowOff>
        </xdr:to>
        <xdr:sp macro="" textlink="">
          <xdr:nvSpPr>
            <xdr:cNvPr id="5121" name="Scroll Bar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</xdr:colOff>
          <xdr:row>6</xdr:row>
          <xdr:rowOff>68580</xdr:rowOff>
        </xdr:from>
        <xdr:to>
          <xdr:col>2</xdr:col>
          <xdr:colOff>838200</xdr:colOff>
          <xdr:row>7</xdr:row>
          <xdr:rowOff>22860</xdr:rowOff>
        </xdr:to>
        <xdr:sp macro="" textlink="">
          <xdr:nvSpPr>
            <xdr:cNvPr id="5122" name="Scroll Bar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2</xdr:row>
          <xdr:rowOff>15240</xdr:rowOff>
        </xdr:from>
        <xdr:to>
          <xdr:col>10</xdr:col>
          <xdr:colOff>38100</xdr:colOff>
          <xdr:row>3</xdr:row>
          <xdr:rowOff>114300</xdr:rowOff>
        </xdr:to>
        <xdr:sp macro="" textlink="">
          <xdr:nvSpPr>
            <xdr:cNvPr id="5123" name="Scroll Bar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</xdr:colOff>
          <xdr:row>8</xdr:row>
          <xdr:rowOff>0</xdr:rowOff>
        </xdr:from>
        <xdr:to>
          <xdr:col>9</xdr:col>
          <xdr:colOff>792480</xdr:colOff>
          <xdr:row>9</xdr:row>
          <xdr:rowOff>38100</xdr:rowOff>
        </xdr:to>
        <xdr:sp macro="" textlink="">
          <xdr:nvSpPr>
            <xdr:cNvPr id="5124" name="Scroll Bar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662940</xdr:colOff>
          <xdr:row>15</xdr:row>
          <xdr:rowOff>15240</xdr:rowOff>
        </xdr:from>
        <xdr:to>
          <xdr:col>0</xdr:col>
          <xdr:colOff>1569720</xdr:colOff>
          <xdr:row>16</xdr:row>
          <xdr:rowOff>0</xdr:rowOff>
        </xdr:to>
        <xdr:sp macro="" textlink="">
          <xdr:nvSpPr>
            <xdr:cNvPr id="5125" name="Scroll Bar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678180</xdr:colOff>
          <xdr:row>20</xdr:row>
          <xdr:rowOff>175260</xdr:rowOff>
        </xdr:from>
        <xdr:to>
          <xdr:col>0</xdr:col>
          <xdr:colOff>1569720</xdr:colOff>
          <xdr:row>22</xdr:row>
          <xdr:rowOff>0</xdr:rowOff>
        </xdr:to>
        <xdr:sp macro="" textlink="">
          <xdr:nvSpPr>
            <xdr:cNvPr id="5126" name="Scroll Bar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1188720</xdr:colOff>
      <xdr:row>27</xdr:row>
      <xdr:rowOff>153060</xdr:rowOff>
    </xdr:from>
    <xdr:to>
      <xdr:col>8</xdr:col>
      <xdr:colOff>388080</xdr:colOff>
      <xdr:row>38</xdr:row>
      <xdr:rowOff>75660</xdr:rowOff>
    </xdr:to>
    <xdr:pic>
      <xdr:nvPicPr>
        <xdr:cNvPr id="4" name="Image 4"/>
        <xdr:cNvPicPr/>
      </xdr:nvPicPr>
      <xdr:blipFill>
        <a:blip xmlns:r="http://schemas.openxmlformats.org/officeDocument/2006/relationships" r:embed="rId1"/>
        <a:stretch/>
      </xdr:blipFill>
      <xdr:spPr>
        <a:xfrm>
          <a:off x="7299960" y="5090820"/>
          <a:ext cx="2712180" cy="1934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571680</xdr:colOff>
      <xdr:row>28</xdr:row>
      <xdr:rowOff>23400</xdr:rowOff>
    </xdr:from>
    <xdr:to>
      <xdr:col>5</xdr:col>
      <xdr:colOff>738720</xdr:colOff>
      <xdr:row>39</xdr:row>
      <xdr:rowOff>14400</xdr:rowOff>
    </xdr:to>
    <xdr:pic>
      <xdr:nvPicPr>
        <xdr:cNvPr id="5" name="Image 6"/>
        <xdr:cNvPicPr/>
      </xdr:nvPicPr>
      <xdr:blipFill>
        <a:blip xmlns:r="http://schemas.openxmlformats.org/officeDocument/2006/relationships" r:embed="rId2"/>
        <a:stretch/>
      </xdr:blipFill>
      <xdr:spPr>
        <a:xfrm>
          <a:off x="5244480" y="5144040"/>
          <a:ext cx="3418200" cy="2002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43200</xdr:rowOff>
    </xdr:from>
    <xdr:to>
      <xdr:col>1</xdr:col>
      <xdr:colOff>167040</xdr:colOff>
      <xdr:row>12</xdr:row>
      <xdr:rowOff>159480</xdr:rowOff>
    </xdr:to>
    <xdr:pic>
      <xdr:nvPicPr>
        <xdr:cNvPr id="6" name="Image 7"/>
        <xdr:cNvPicPr/>
      </xdr:nvPicPr>
      <xdr:blipFill>
        <a:blip xmlns:r="http://schemas.openxmlformats.org/officeDocument/2006/relationships" r:embed="rId3"/>
        <a:stretch/>
      </xdr:blipFill>
      <xdr:spPr>
        <a:xfrm>
          <a:off x="0" y="43200"/>
          <a:ext cx="3496320" cy="2310840"/>
        </a:xfrm>
        <a:prstGeom prst="rect">
          <a:avLst/>
        </a:prstGeom>
        <a:ln w="28440">
          <a:solidFill>
            <a:srgbClr val="FFFFFF"/>
          </a:solidFill>
          <a:round/>
        </a:ln>
      </xdr:spPr>
    </xdr:pic>
    <xdr:clientData/>
  </xdr:twoCellAnchor>
  <xdr:twoCellAnchor>
    <xdr:from>
      <xdr:col>8</xdr:col>
      <xdr:colOff>743520</xdr:colOff>
      <xdr:row>15</xdr:row>
      <xdr:rowOff>80160</xdr:rowOff>
    </xdr:from>
    <xdr:to>
      <xdr:col>15</xdr:col>
      <xdr:colOff>312420</xdr:colOff>
      <xdr:row>28</xdr:row>
      <xdr:rowOff>26160</xdr:rowOff>
    </xdr:to>
    <xdr:sp macro="" textlink="">
      <xdr:nvSpPr>
        <xdr:cNvPr id="7" name="CustomShape 1"/>
        <xdr:cNvSpPr/>
      </xdr:nvSpPr>
      <xdr:spPr>
        <a:xfrm>
          <a:off x="10367580" y="2823360"/>
          <a:ext cx="5116260" cy="2323440"/>
        </a:xfrm>
        <a:prstGeom prst="rect">
          <a:avLst/>
        </a:prstGeom>
        <a:solidFill>
          <a:srgbClr val="FFFF00"/>
        </a:solidFill>
        <a:ln w="9360">
          <a:solidFill>
            <a:srgbClr val="FFFFFF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fr-FR" sz="700" b="0" strike="noStrike" spc="-1">
              <a:solidFill>
                <a:srgbClr val="000000"/>
              </a:solidFill>
              <a:latin typeface="Calibri"/>
            </a:rPr>
            <a:t>Wikipédia   Le rayonnement solaire incident, estimé à 342 W/m</a:t>
          </a:r>
          <a:r>
            <a:rPr lang="fr-FR" sz="700" b="0" strike="noStrike" spc="-1" baseline="30000">
              <a:solidFill>
                <a:srgbClr val="000000"/>
              </a:solidFill>
              <a:latin typeface="Calibri"/>
            </a:rPr>
            <a:t>2</a:t>
          </a:r>
          <a:r>
            <a:rPr lang="fr-FR" sz="700" b="0" strike="noStrike" spc="-1">
              <a:solidFill>
                <a:srgbClr val="000000"/>
              </a:solidFill>
              <a:latin typeface="Calibri"/>
            </a:rPr>
            <a:t>, se répartit en : </a:t>
          </a:r>
          <a:endParaRPr lang="fr-FR" sz="7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700" b="0" strike="noStrike" spc="-1">
              <a:solidFill>
                <a:srgbClr val="000000"/>
              </a:solidFill>
              <a:latin typeface="Calibri"/>
            </a:rPr>
            <a:t>107 W/m</a:t>
          </a:r>
          <a:r>
            <a:rPr lang="fr-FR" sz="700" b="0" strike="noStrike" spc="-1" baseline="30000">
              <a:solidFill>
                <a:srgbClr val="000000"/>
              </a:solidFill>
              <a:latin typeface="Calibri"/>
            </a:rPr>
            <a:t>2</a:t>
          </a:r>
          <a:r>
            <a:rPr lang="fr-FR" sz="700" b="0" strike="noStrike" spc="-1">
              <a:solidFill>
                <a:srgbClr val="000000"/>
              </a:solidFill>
              <a:latin typeface="Calibri"/>
            </a:rPr>
            <a:t> réfléchis par l'atmosphère (77 W/m</a:t>
          </a:r>
          <a:r>
            <a:rPr lang="fr-FR" sz="700" b="0" strike="noStrike" spc="-1" baseline="30000">
              <a:solidFill>
                <a:srgbClr val="000000"/>
              </a:solidFill>
              <a:latin typeface="Calibri"/>
            </a:rPr>
            <a:t>2</a:t>
          </a:r>
          <a:r>
            <a:rPr lang="fr-FR" sz="700" b="0" strike="noStrike" spc="-1">
              <a:solidFill>
                <a:srgbClr val="000000"/>
              </a:solidFill>
              <a:latin typeface="Calibri"/>
            </a:rPr>
            <a:t>) et par la surface terrestre (30 W/m</a:t>
          </a:r>
          <a:r>
            <a:rPr lang="fr-FR" sz="700" b="0" strike="noStrike" spc="-1" baseline="30000">
              <a:solidFill>
                <a:srgbClr val="000000"/>
              </a:solidFill>
              <a:latin typeface="Calibri"/>
            </a:rPr>
            <a:t>2</a:t>
          </a:r>
          <a:r>
            <a:rPr lang="fr-FR" sz="700" b="0" strike="noStrike" spc="-1">
              <a:solidFill>
                <a:srgbClr val="000000"/>
              </a:solidFill>
              <a:latin typeface="Calibri"/>
            </a:rPr>
            <a:t>). L'albédo moyen Terre-atmosphère = 31 %</a:t>
          </a:r>
          <a:endParaRPr lang="fr-FR" sz="7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700" b="0" strike="noStrike" spc="-1">
              <a:solidFill>
                <a:srgbClr val="FF0000"/>
              </a:solidFill>
              <a:latin typeface="Calibri"/>
            </a:rPr>
            <a:t>67 W/m</a:t>
          </a:r>
          <a:r>
            <a:rPr lang="fr-FR" sz="700" b="0" strike="noStrike" spc="-1" baseline="30000">
              <a:solidFill>
                <a:srgbClr val="FF0000"/>
              </a:solidFill>
              <a:latin typeface="Calibri"/>
            </a:rPr>
            <a:t>2</a:t>
          </a:r>
          <a:r>
            <a:rPr lang="fr-FR" sz="700" b="0" strike="noStrike" spc="-1">
              <a:solidFill>
                <a:srgbClr val="FF0000"/>
              </a:solidFill>
              <a:latin typeface="Calibri"/>
            </a:rPr>
            <a:t> </a:t>
          </a:r>
          <a:r>
            <a:rPr lang="fr-FR" sz="700" b="0" strike="noStrike" spc="-1">
              <a:solidFill>
                <a:srgbClr val="000000"/>
              </a:solidFill>
              <a:latin typeface="Calibri"/>
            </a:rPr>
            <a:t>directement absorbés dans l'atmosphère par les molécules d'air et les nuages.</a:t>
          </a:r>
          <a:endParaRPr lang="fr-FR" sz="7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700" b="0" strike="noStrike" spc="-1">
              <a:solidFill>
                <a:srgbClr val="000000"/>
              </a:solidFill>
              <a:latin typeface="Calibri"/>
            </a:rPr>
            <a:t>168 W/m</a:t>
          </a:r>
          <a:r>
            <a:rPr lang="fr-FR" sz="700" b="0" strike="noStrike" spc="-1" baseline="30000">
              <a:solidFill>
                <a:srgbClr val="000000"/>
              </a:solidFill>
              <a:latin typeface="Calibri"/>
            </a:rPr>
            <a:t>2</a:t>
          </a:r>
          <a:r>
            <a:rPr lang="fr-FR" sz="700" b="0" strike="noStrike" spc="-1">
              <a:solidFill>
                <a:srgbClr val="000000"/>
              </a:solidFill>
              <a:latin typeface="Calibri"/>
            </a:rPr>
            <a:t> absorbés par la surface terrestre (océans et continents).</a:t>
          </a:r>
          <a:endParaRPr lang="fr-FR" sz="7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700" b="0" strike="noStrike" spc="-1">
              <a:solidFill>
                <a:srgbClr val="000000"/>
              </a:solidFill>
              <a:latin typeface="Calibri"/>
            </a:rPr>
            <a:t>L'atmosphère reçoit 519 W/m</a:t>
          </a:r>
          <a:r>
            <a:rPr lang="fr-FR" sz="700" b="0" strike="noStrike" spc="-1" baseline="30000">
              <a:solidFill>
                <a:srgbClr val="000000"/>
              </a:solidFill>
              <a:latin typeface="Calibri"/>
            </a:rPr>
            <a:t>2</a:t>
          </a:r>
          <a:r>
            <a:rPr lang="fr-FR" sz="700" b="0" strike="noStrike" spc="-1">
              <a:solidFill>
                <a:srgbClr val="000000"/>
              </a:solidFill>
              <a:latin typeface="Calibri"/>
            </a:rPr>
            <a:t> répartis comme suit : </a:t>
          </a:r>
          <a:endParaRPr lang="fr-FR" sz="7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700" b="0" strike="noStrike" spc="-1">
              <a:solidFill>
                <a:srgbClr val="000000"/>
              </a:solidFill>
              <a:latin typeface="Calibri"/>
            </a:rPr>
            <a:t>67 W/m</a:t>
          </a:r>
          <a:r>
            <a:rPr lang="fr-FR" sz="700" b="0" strike="noStrike" spc="-1" baseline="30000">
              <a:solidFill>
                <a:srgbClr val="000000"/>
              </a:solidFill>
              <a:latin typeface="Calibri"/>
            </a:rPr>
            <a:t>2</a:t>
          </a:r>
          <a:r>
            <a:rPr lang="fr-FR" sz="700" b="0" strike="noStrike" spc="-1">
              <a:solidFill>
                <a:srgbClr val="000000"/>
              </a:solidFill>
              <a:latin typeface="Calibri"/>
            </a:rPr>
            <a:t> de la part du rayonnement solaire incident, comme mentionné ;</a:t>
          </a:r>
          <a:endParaRPr lang="fr-FR" sz="7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700" b="0" strike="noStrike" spc="-1">
              <a:solidFill>
                <a:srgbClr val="000000"/>
              </a:solidFill>
              <a:latin typeface="Calibri"/>
            </a:rPr>
            <a:t>78 W/m</a:t>
          </a:r>
          <a:r>
            <a:rPr lang="fr-FR" sz="700" b="0" strike="noStrike" spc="-1" baseline="30000">
              <a:solidFill>
                <a:srgbClr val="000000"/>
              </a:solidFill>
              <a:latin typeface="Calibri"/>
            </a:rPr>
            <a:t>2</a:t>
          </a:r>
          <a:r>
            <a:rPr lang="fr-FR" sz="700" b="0" strike="noStrike" spc="-1">
              <a:solidFill>
                <a:srgbClr val="000000"/>
              </a:solidFill>
              <a:latin typeface="Calibri"/>
            </a:rPr>
            <a:t> absorbés par l'évaporation de l'eau. L'énergie correspondante est convertie en chaleur latente d'évaporation </a:t>
          </a:r>
          <a:endParaRPr lang="fr-FR" sz="7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700" b="0" strike="noStrike" spc="-1">
              <a:solidFill>
                <a:srgbClr val="000000"/>
              </a:solidFill>
              <a:latin typeface="Calibri"/>
            </a:rPr>
            <a:t>24 W/m</a:t>
          </a:r>
          <a:r>
            <a:rPr lang="fr-FR" sz="700" b="0" strike="noStrike" spc="-1" baseline="30000">
              <a:solidFill>
                <a:srgbClr val="000000"/>
              </a:solidFill>
              <a:latin typeface="Calibri"/>
            </a:rPr>
            <a:t>2</a:t>
          </a:r>
          <a:r>
            <a:rPr lang="fr-FR" sz="700" b="0" strike="noStrike" spc="-1">
              <a:solidFill>
                <a:srgbClr val="000000"/>
              </a:solidFill>
              <a:latin typeface="Calibri"/>
            </a:rPr>
            <a:t> par convection de l'air à la surface terrestre. </a:t>
          </a:r>
          <a:endParaRPr lang="fr-FR" sz="7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700" b="0" strike="noStrike" spc="-1">
              <a:solidFill>
                <a:srgbClr val="000000"/>
              </a:solidFill>
              <a:latin typeface="Calibri"/>
            </a:rPr>
            <a:t>350 W/m</a:t>
          </a:r>
          <a:r>
            <a:rPr lang="fr-FR" sz="700" b="0" strike="noStrike" spc="-1" baseline="30000">
              <a:solidFill>
                <a:srgbClr val="000000"/>
              </a:solidFill>
              <a:latin typeface="Calibri"/>
            </a:rPr>
            <a:t>2</a:t>
          </a:r>
          <a:r>
            <a:rPr lang="fr-FR" sz="700" b="0" strike="noStrike" spc="-1">
              <a:solidFill>
                <a:srgbClr val="000000"/>
              </a:solidFill>
              <a:latin typeface="Calibri"/>
            </a:rPr>
            <a:t> par absorption du rayonnement infrarouge émis par la surface terrestre.</a:t>
          </a:r>
          <a:endParaRPr lang="fr-FR" sz="7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700" b="0" strike="noStrike" spc="-1">
              <a:solidFill>
                <a:srgbClr val="000000"/>
              </a:solidFill>
              <a:latin typeface="Calibri"/>
            </a:rPr>
            <a:t> </a:t>
          </a:r>
          <a:endParaRPr lang="fr-FR" sz="7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700" b="0" strike="noStrike" spc="-1">
              <a:solidFill>
                <a:srgbClr val="000000"/>
              </a:solidFill>
              <a:latin typeface="Calibri"/>
            </a:rPr>
            <a:t>168 W/m</a:t>
          </a:r>
          <a:r>
            <a:rPr lang="fr-FR" sz="700" b="0" strike="noStrike" spc="-1" baseline="30000">
              <a:solidFill>
                <a:srgbClr val="000000"/>
              </a:solidFill>
              <a:latin typeface="Calibri"/>
            </a:rPr>
            <a:t>2</a:t>
          </a:r>
          <a:r>
            <a:rPr lang="fr-FR" sz="700" b="0" strike="noStrike" spc="-1">
              <a:solidFill>
                <a:srgbClr val="000000"/>
              </a:solidFill>
              <a:latin typeface="Calibri"/>
            </a:rPr>
            <a:t> proviennent du rayonnement solaire parvenant à la surface terrestre ;</a:t>
          </a:r>
          <a:endParaRPr lang="fr-FR" sz="7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700" b="0" strike="noStrike" spc="-1">
              <a:solidFill>
                <a:srgbClr val="000000"/>
              </a:solidFill>
              <a:latin typeface="Calibri"/>
            </a:rPr>
            <a:t>78 W/m</a:t>
          </a:r>
          <a:r>
            <a:rPr lang="fr-FR" sz="700" b="0" strike="noStrike" spc="-1" baseline="30000">
              <a:solidFill>
                <a:srgbClr val="000000"/>
              </a:solidFill>
              <a:latin typeface="Calibri"/>
            </a:rPr>
            <a:t>2</a:t>
          </a:r>
          <a:r>
            <a:rPr lang="fr-FR" sz="700" b="0" strike="noStrike" spc="-1">
              <a:solidFill>
                <a:srgbClr val="000000"/>
              </a:solidFill>
              <a:latin typeface="Calibri"/>
            </a:rPr>
            <a:t> par évaporation de l'eau de la surface des océans ;</a:t>
          </a:r>
          <a:endParaRPr lang="fr-FR" sz="7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700" b="0" strike="noStrike" spc="-1">
              <a:solidFill>
                <a:srgbClr val="000000"/>
              </a:solidFill>
              <a:latin typeface="Calibri"/>
            </a:rPr>
            <a:t>24 W/m</a:t>
          </a:r>
          <a:r>
            <a:rPr lang="fr-FR" sz="700" b="0" strike="noStrike" spc="-1" baseline="30000">
              <a:solidFill>
                <a:srgbClr val="000000"/>
              </a:solidFill>
              <a:latin typeface="Calibri"/>
            </a:rPr>
            <a:t>2</a:t>
          </a:r>
          <a:r>
            <a:rPr lang="fr-FR" sz="700" b="0" strike="noStrike" spc="-1">
              <a:solidFill>
                <a:srgbClr val="000000"/>
              </a:solidFill>
              <a:latin typeface="Calibri"/>
            </a:rPr>
            <a:t> par convection de l'air à la surface de la Terre ;</a:t>
          </a:r>
          <a:endParaRPr lang="fr-FR" sz="7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700" b="0" strike="noStrike" spc="-1">
              <a:solidFill>
                <a:srgbClr val="FF0000"/>
              </a:solidFill>
              <a:latin typeface="Calibri"/>
            </a:rPr>
            <a:t>40 W/m</a:t>
          </a:r>
          <a:r>
            <a:rPr lang="fr-FR" sz="700" b="0" strike="noStrike" spc="-1" baseline="30000">
              <a:solidFill>
                <a:srgbClr val="FF0000"/>
              </a:solidFill>
              <a:latin typeface="Calibri"/>
            </a:rPr>
            <a:t>2</a:t>
          </a:r>
          <a:r>
            <a:rPr lang="fr-FR" sz="700" b="0" strike="noStrike" spc="-1">
              <a:solidFill>
                <a:srgbClr val="FF0000"/>
              </a:solidFill>
              <a:latin typeface="Calibri"/>
            </a:rPr>
            <a:t> </a:t>
          </a:r>
          <a:r>
            <a:rPr lang="fr-FR" sz="700" b="0" strike="noStrike" spc="-1">
              <a:solidFill>
                <a:srgbClr val="000000"/>
              </a:solidFill>
              <a:latin typeface="Calibri"/>
            </a:rPr>
            <a:t>sont émis par la surface terrestre sous forme de rayonnement infrarouge vers l'espace.</a:t>
          </a:r>
          <a:endParaRPr lang="fr-FR" sz="7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700" b="0" strike="noStrike" spc="-1">
              <a:solidFill>
                <a:srgbClr val="000000"/>
              </a:solidFill>
              <a:latin typeface="Calibri"/>
            </a:rPr>
            <a:t>L'espace reçoit 342 W/m</a:t>
          </a:r>
          <a:r>
            <a:rPr lang="fr-FR" sz="700" b="0" strike="noStrike" spc="-1" baseline="30000">
              <a:solidFill>
                <a:srgbClr val="000000"/>
              </a:solidFill>
              <a:latin typeface="Calibri"/>
            </a:rPr>
            <a:t>2</a:t>
          </a:r>
          <a:r>
            <a:rPr lang="fr-FR" sz="700" b="0" strike="noStrike" spc="-1">
              <a:solidFill>
                <a:srgbClr val="000000"/>
              </a:solidFill>
              <a:latin typeface="Calibri"/>
            </a:rPr>
            <a:t> répartis comme suit : </a:t>
          </a:r>
          <a:endParaRPr lang="fr-FR" sz="7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700" b="0" strike="noStrike" spc="-1">
              <a:solidFill>
                <a:srgbClr val="000000"/>
              </a:solidFill>
              <a:latin typeface="Calibri"/>
            </a:rPr>
            <a:t>107 W/m</a:t>
          </a:r>
          <a:r>
            <a:rPr lang="fr-FR" sz="700" b="0" strike="noStrike" spc="-1" baseline="30000">
              <a:solidFill>
                <a:srgbClr val="000000"/>
              </a:solidFill>
              <a:latin typeface="Calibri"/>
            </a:rPr>
            <a:t>2</a:t>
          </a:r>
          <a:r>
            <a:rPr lang="fr-FR" sz="700" b="0" strike="noStrike" spc="-1">
              <a:solidFill>
                <a:srgbClr val="000000"/>
              </a:solidFill>
              <a:latin typeface="Calibri"/>
            </a:rPr>
            <a:t> réfléchis par l'atmosphère et la surface terrestre ;</a:t>
          </a:r>
          <a:endParaRPr lang="fr-FR" sz="7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fr-FR" sz="7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700" b="0" strike="noStrike" spc="-1">
              <a:solidFill>
                <a:srgbClr val="000000"/>
              </a:solidFill>
              <a:latin typeface="Calibri"/>
            </a:rPr>
            <a:t>195 W/m</a:t>
          </a:r>
          <a:r>
            <a:rPr lang="fr-FR" sz="700" b="0" strike="noStrike" spc="-1" baseline="30000">
              <a:solidFill>
                <a:srgbClr val="000000"/>
              </a:solidFill>
              <a:latin typeface="Calibri"/>
            </a:rPr>
            <a:t>2</a:t>
          </a:r>
          <a:r>
            <a:rPr lang="fr-FR" sz="700" b="0" strike="noStrike" spc="-1">
              <a:solidFill>
                <a:srgbClr val="000000"/>
              </a:solidFill>
              <a:latin typeface="Calibri"/>
            </a:rPr>
            <a:t> émis par l'atmosphère sous forme de rayonnement infrarouge vers l'espace ;</a:t>
          </a:r>
          <a:endParaRPr lang="fr-FR" sz="7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700" b="0" strike="noStrike" spc="-1">
              <a:solidFill>
                <a:srgbClr val="000000"/>
              </a:solidFill>
              <a:latin typeface="Calibri"/>
            </a:rPr>
            <a:t>40 W/m</a:t>
          </a:r>
          <a:r>
            <a:rPr lang="fr-FR" sz="700" b="0" strike="noStrike" spc="-1" baseline="30000">
              <a:solidFill>
                <a:srgbClr val="000000"/>
              </a:solidFill>
              <a:latin typeface="Calibri"/>
            </a:rPr>
            <a:t>2</a:t>
          </a:r>
          <a:r>
            <a:rPr lang="fr-FR" sz="700" b="0" strike="noStrike" spc="-1">
              <a:solidFill>
                <a:srgbClr val="000000"/>
              </a:solidFill>
              <a:latin typeface="Calibri"/>
            </a:rPr>
            <a:t> émis par la surface terrestre sous forme de rayonnement infrarouge vers l'espace.</a:t>
          </a:r>
          <a:endParaRPr lang="fr-FR" sz="7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700" b="0" strike="noStrike" spc="-1">
              <a:solidFill>
                <a:srgbClr val="000000"/>
              </a:solidFill>
              <a:latin typeface="Calibri"/>
            </a:rPr>
            <a:t>Les deux derniers forment le rayonnement sortant à grande longueur d'onde.</a:t>
          </a:r>
          <a:endParaRPr lang="fr-FR" sz="700" b="0" strike="noStrike" spc="-1">
            <a:latin typeface="Times New Roman"/>
          </a:endParaRPr>
        </a:p>
      </xdr:txBody>
    </xdr:sp>
    <xdr:clientData/>
  </xdr:twoCellAnchor>
  <xdr:twoCellAnchor editAs="oneCell">
    <xdr:from>
      <xdr:col>2</xdr:col>
      <xdr:colOff>776160</xdr:colOff>
      <xdr:row>42</xdr:row>
      <xdr:rowOff>50040</xdr:rowOff>
    </xdr:from>
    <xdr:to>
      <xdr:col>5</xdr:col>
      <xdr:colOff>1043280</xdr:colOff>
      <xdr:row>50</xdr:row>
      <xdr:rowOff>113400</xdr:rowOff>
    </xdr:to>
    <xdr:pic>
      <xdr:nvPicPr>
        <xdr:cNvPr id="8" name="Image 10"/>
        <xdr:cNvPicPr/>
      </xdr:nvPicPr>
      <xdr:blipFill>
        <a:blip xmlns:r="http://schemas.openxmlformats.org/officeDocument/2006/relationships" r:embed="rId4"/>
        <a:stretch/>
      </xdr:blipFill>
      <xdr:spPr>
        <a:xfrm>
          <a:off x="5448960" y="7731000"/>
          <a:ext cx="3518280" cy="15264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812880</xdr:colOff>
      <xdr:row>42</xdr:row>
      <xdr:rowOff>9720</xdr:rowOff>
    </xdr:from>
    <xdr:to>
      <xdr:col>7</xdr:col>
      <xdr:colOff>1020600</xdr:colOff>
      <xdr:row>50</xdr:row>
      <xdr:rowOff>151560</xdr:rowOff>
    </xdr:to>
    <xdr:pic>
      <xdr:nvPicPr>
        <xdr:cNvPr id="9" name="Image 8"/>
        <xdr:cNvPicPr/>
      </xdr:nvPicPr>
      <xdr:blipFill>
        <a:blip xmlns:r="http://schemas.openxmlformats.org/officeDocument/2006/relationships" r:embed="rId5"/>
        <a:stretch/>
      </xdr:blipFill>
      <xdr:spPr>
        <a:xfrm>
          <a:off x="8736840" y="7690680"/>
          <a:ext cx="3280680" cy="16048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624840</xdr:colOff>
      <xdr:row>11</xdr:row>
      <xdr:rowOff>7620</xdr:rowOff>
    </xdr:from>
    <xdr:to>
      <xdr:col>16</xdr:col>
      <xdr:colOff>82980</xdr:colOff>
      <xdr:row>14</xdr:row>
      <xdr:rowOff>151680</xdr:rowOff>
    </xdr:to>
    <xdr:sp macro="" textlink="">
      <xdr:nvSpPr>
        <xdr:cNvPr id="10" name="CustomShape 1"/>
        <xdr:cNvSpPr/>
      </xdr:nvSpPr>
      <xdr:spPr>
        <a:xfrm>
          <a:off x="11833860" y="2019300"/>
          <a:ext cx="4319700" cy="692700"/>
        </a:xfrm>
        <a:prstGeom prst="rect">
          <a:avLst/>
        </a:prstGeom>
        <a:solidFill>
          <a:srgbClr val="FFFFFF"/>
        </a:solidFill>
        <a:ln w="9360">
          <a:solidFill>
            <a:srgbClr val="FFFFFF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fr-FR" sz="1050" b="0" strike="noStrike" spc="-1">
              <a:solidFill>
                <a:srgbClr val="000000"/>
              </a:solidFill>
              <a:latin typeface="Calibri"/>
            </a:rPr>
            <a:t>the global mean SW downward surface radiation (DSR) is equal to 171.6 Wm</a:t>
          </a:r>
          <a:r>
            <a:rPr lang="fr-FR" sz="1050" b="0" strike="noStrike" spc="-1" baseline="30000">
              <a:solidFill>
                <a:srgbClr val="000000"/>
              </a:solidFill>
              <a:latin typeface="Calibri"/>
            </a:rPr>
            <a:t>-2</a:t>
          </a:r>
          <a:r>
            <a:rPr lang="fr-FR" sz="1050" b="0" strike="noStrike" spc="-1">
              <a:solidFill>
                <a:srgbClr val="000000"/>
              </a:solidFill>
              <a:latin typeface="Calibri"/>
            </a:rPr>
            <a:t>, whereas the net downward (or absorbed) surface SW radiation is equal to 149.4 Wm</a:t>
          </a:r>
          <a:r>
            <a:rPr lang="fr-FR" sz="1050" b="0" strike="noStrike" spc="-1" baseline="30000">
              <a:solidFill>
                <a:srgbClr val="000000"/>
              </a:solidFill>
              <a:latin typeface="Calibri"/>
            </a:rPr>
            <a:t>-2</a:t>
          </a:r>
          <a:r>
            <a:rPr lang="fr-FR" sz="1050" b="0" strike="noStrike" spc="-1">
              <a:solidFill>
                <a:srgbClr val="000000"/>
              </a:solidFill>
              <a:latin typeface="Calibri"/>
            </a:rPr>
            <a:t>, values that correspond to 50.2 and 43.7% of the incoming SW radiation at the top of the Earth's atmosphere.</a:t>
          </a:r>
          <a:endParaRPr lang="fr-FR" sz="1050" b="0" strike="noStrike" spc="-1">
            <a:latin typeface="Times New Roman"/>
          </a:endParaRPr>
        </a:p>
      </xdr:txBody>
    </xdr:sp>
    <xdr:clientData/>
  </xdr:twoCellAnchor>
  <xdr:twoCellAnchor editAs="oneCell">
    <xdr:from>
      <xdr:col>9</xdr:col>
      <xdr:colOff>396300</xdr:colOff>
      <xdr:row>26</xdr:row>
      <xdr:rowOff>170340</xdr:rowOff>
    </xdr:from>
    <xdr:to>
      <xdr:col>13</xdr:col>
      <xdr:colOff>747060</xdr:colOff>
      <xdr:row>40</xdr:row>
      <xdr:rowOff>182580</xdr:rowOff>
    </xdr:to>
    <xdr:pic>
      <xdr:nvPicPr>
        <xdr:cNvPr id="11" name="Image 3"/>
        <xdr:cNvPicPr/>
      </xdr:nvPicPr>
      <xdr:blipFill>
        <a:blip xmlns:r="http://schemas.openxmlformats.org/officeDocument/2006/relationships" r:embed="rId6"/>
        <a:stretch/>
      </xdr:blipFill>
      <xdr:spPr>
        <a:xfrm>
          <a:off x="10812840" y="4925220"/>
          <a:ext cx="3520680" cy="25725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2468880</xdr:colOff>
      <xdr:row>11</xdr:row>
      <xdr:rowOff>68760</xdr:rowOff>
    </xdr:from>
    <xdr:to>
      <xdr:col>4</xdr:col>
      <xdr:colOff>212760</xdr:colOff>
      <xdr:row>12</xdr:row>
      <xdr:rowOff>144360</xdr:rowOff>
    </xdr:to>
    <xdr:sp macro="" textlink="">
      <xdr:nvSpPr>
        <xdr:cNvPr id="13" name="CustomShape 1"/>
        <xdr:cNvSpPr/>
      </xdr:nvSpPr>
      <xdr:spPr>
        <a:xfrm>
          <a:off x="2468880" y="2080440"/>
          <a:ext cx="4472640" cy="258480"/>
        </a:xfrm>
        <a:prstGeom prst="rightArrow">
          <a:avLst>
            <a:gd name="adj1" fmla="val 50000"/>
            <a:gd name="adj2" fmla="val 50000"/>
          </a:avLst>
        </a:prstGeom>
        <a:solidFill>
          <a:schemeClr val="tx2">
            <a:lumMod val="20000"/>
            <a:lumOff val="8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453240</xdr:colOff>
      <xdr:row>26</xdr:row>
      <xdr:rowOff>99000</xdr:rowOff>
    </xdr:from>
    <xdr:to>
      <xdr:col>3</xdr:col>
      <xdr:colOff>711720</xdr:colOff>
      <xdr:row>28</xdr:row>
      <xdr:rowOff>64080</xdr:rowOff>
    </xdr:to>
    <xdr:sp macro="" textlink="">
      <xdr:nvSpPr>
        <xdr:cNvPr id="15" name="CustomShape 1"/>
        <xdr:cNvSpPr/>
      </xdr:nvSpPr>
      <xdr:spPr>
        <a:xfrm>
          <a:off x="6154200" y="4853880"/>
          <a:ext cx="258480" cy="330840"/>
        </a:xfrm>
        <a:prstGeom prst="rightArrow">
          <a:avLst>
            <a:gd name="adj1" fmla="val 50000"/>
            <a:gd name="adj2" fmla="val 50000"/>
          </a:avLst>
        </a:prstGeom>
        <a:solidFill>
          <a:srgbClr val="FFFFFF"/>
        </a:solidFill>
        <a:ln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6</xdr:col>
      <xdr:colOff>826920</xdr:colOff>
      <xdr:row>26</xdr:row>
      <xdr:rowOff>53280</xdr:rowOff>
    </xdr:from>
    <xdr:to>
      <xdr:col>6</xdr:col>
      <xdr:colOff>1085400</xdr:colOff>
      <xdr:row>28</xdr:row>
      <xdr:rowOff>18360</xdr:rowOff>
    </xdr:to>
    <xdr:sp macro="" textlink="">
      <xdr:nvSpPr>
        <xdr:cNvPr id="16" name="CustomShape 1"/>
        <xdr:cNvSpPr/>
      </xdr:nvSpPr>
      <xdr:spPr>
        <a:xfrm>
          <a:off x="10400760" y="4808160"/>
          <a:ext cx="258480" cy="330840"/>
        </a:xfrm>
        <a:prstGeom prst="rightArrow">
          <a:avLst>
            <a:gd name="adj1" fmla="val 50000"/>
            <a:gd name="adj2" fmla="val 50000"/>
          </a:avLst>
        </a:prstGeom>
        <a:solidFill>
          <a:srgbClr val="FFFFFF"/>
        </a:solidFill>
        <a:ln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5</xdr:col>
      <xdr:colOff>811440</xdr:colOff>
      <xdr:row>26</xdr:row>
      <xdr:rowOff>160200</xdr:rowOff>
    </xdr:from>
    <xdr:to>
      <xdr:col>5</xdr:col>
      <xdr:colOff>1069920</xdr:colOff>
      <xdr:row>42</xdr:row>
      <xdr:rowOff>26280</xdr:rowOff>
    </xdr:to>
    <xdr:sp macro="" textlink="">
      <xdr:nvSpPr>
        <xdr:cNvPr id="17" name="CustomShape 1"/>
        <xdr:cNvSpPr/>
      </xdr:nvSpPr>
      <xdr:spPr>
        <a:xfrm>
          <a:off x="8735400" y="4915080"/>
          <a:ext cx="258480" cy="2792160"/>
        </a:xfrm>
        <a:prstGeom prst="rightArrow">
          <a:avLst>
            <a:gd name="adj1" fmla="val 50000"/>
            <a:gd name="adj2" fmla="val 50000"/>
          </a:avLst>
        </a:prstGeom>
        <a:solidFill>
          <a:srgbClr val="FFFFFF"/>
        </a:solidFill>
        <a:ln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74160</xdr:colOff>
      <xdr:row>25</xdr:row>
      <xdr:rowOff>173520</xdr:rowOff>
    </xdr:from>
    <xdr:to>
      <xdr:col>8</xdr:col>
      <xdr:colOff>709560</xdr:colOff>
      <xdr:row>27</xdr:row>
      <xdr:rowOff>66240</xdr:rowOff>
    </xdr:to>
    <xdr:sp macro="" textlink="">
      <xdr:nvSpPr>
        <xdr:cNvPr id="18" name="CustomShape 1"/>
        <xdr:cNvSpPr/>
      </xdr:nvSpPr>
      <xdr:spPr>
        <a:xfrm>
          <a:off x="12552480" y="4745520"/>
          <a:ext cx="635400" cy="258480"/>
        </a:xfrm>
        <a:prstGeom prst="rightArrow">
          <a:avLst>
            <a:gd name="adj1" fmla="val 50000"/>
            <a:gd name="adj2" fmla="val 50000"/>
          </a:avLst>
        </a:prstGeom>
        <a:solidFill>
          <a:srgbClr val="FFFFFF"/>
        </a:solidFill>
        <a:ln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0</xdr:col>
      <xdr:colOff>0</xdr:colOff>
      <xdr:row>27</xdr:row>
      <xdr:rowOff>157904</xdr:rowOff>
    </xdr:from>
    <xdr:to>
      <xdr:col>2</xdr:col>
      <xdr:colOff>533400</xdr:colOff>
      <xdr:row>43</xdr:row>
      <xdr:rowOff>21915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54447"/>
          <a:ext cx="4136571" cy="2824925"/>
        </a:xfrm>
        <a:prstGeom prst="rect">
          <a:avLst/>
        </a:prstGeom>
      </xdr:spPr>
    </xdr:pic>
    <xdr:clientData/>
  </xdr:twoCellAnchor>
  <xdr:twoCellAnchor>
    <xdr:from>
      <xdr:col>2</xdr:col>
      <xdr:colOff>2176</xdr:colOff>
      <xdr:row>26</xdr:row>
      <xdr:rowOff>4535</xdr:rowOff>
    </xdr:from>
    <xdr:to>
      <xdr:col>2</xdr:col>
      <xdr:colOff>244929</xdr:colOff>
      <xdr:row>28</xdr:row>
      <xdr:rowOff>70757</xdr:rowOff>
    </xdr:to>
    <xdr:sp macro="" textlink="">
      <xdr:nvSpPr>
        <xdr:cNvPr id="19" name="CustomShape 1"/>
        <xdr:cNvSpPr/>
      </xdr:nvSpPr>
      <xdr:spPr>
        <a:xfrm rot="16200000">
          <a:off x="3508556" y="4912812"/>
          <a:ext cx="436336" cy="242753"/>
        </a:xfrm>
        <a:prstGeom prst="rightArrow">
          <a:avLst>
            <a:gd name="adj1" fmla="val 50000"/>
            <a:gd name="adj2" fmla="val 50000"/>
          </a:avLst>
        </a:prstGeom>
        <a:solidFill>
          <a:schemeClr val="accent2">
            <a:lumMod val="20000"/>
            <a:lumOff val="8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535576</xdr:colOff>
      <xdr:row>26</xdr:row>
      <xdr:rowOff>26306</xdr:rowOff>
    </xdr:from>
    <xdr:to>
      <xdr:col>3</xdr:col>
      <xdr:colOff>778329</xdr:colOff>
      <xdr:row>28</xdr:row>
      <xdr:rowOff>92528</xdr:rowOff>
    </xdr:to>
    <xdr:sp macro="" textlink="">
      <xdr:nvSpPr>
        <xdr:cNvPr id="20" name="CustomShape 1"/>
        <xdr:cNvSpPr/>
      </xdr:nvSpPr>
      <xdr:spPr>
        <a:xfrm rot="16200000">
          <a:off x="4836614" y="4934583"/>
          <a:ext cx="436336" cy="242753"/>
        </a:xfrm>
        <a:prstGeom prst="rightArrow">
          <a:avLst>
            <a:gd name="adj1" fmla="val 50000"/>
            <a:gd name="adj2" fmla="val 50000"/>
          </a:avLst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6</xdr:col>
      <xdr:colOff>813165</xdr:colOff>
      <xdr:row>25</xdr:row>
      <xdr:rowOff>91621</xdr:rowOff>
    </xdr:from>
    <xdr:to>
      <xdr:col>6</xdr:col>
      <xdr:colOff>1055918</xdr:colOff>
      <xdr:row>27</xdr:row>
      <xdr:rowOff>157843</xdr:rowOff>
    </xdr:to>
    <xdr:sp macro="" textlink="">
      <xdr:nvSpPr>
        <xdr:cNvPr id="21" name="CustomShape 1"/>
        <xdr:cNvSpPr/>
      </xdr:nvSpPr>
      <xdr:spPr>
        <a:xfrm rot="16200000">
          <a:off x="8102331" y="4814841"/>
          <a:ext cx="436336" cy="242753"/>
        </a:xfrm>
        <a:prstGeom prst="rightArrow">
          <a:avLst>
            <a:gd name="adj1" fmla="val 50000"/>
            <a:gd name="adj2" fmla="val 50000"/>
          </a:avLst>
        </a:prstGeom>
        <a:solidFill>
          <a:schemeClr val="accent3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1123583</xdr:colOff>
      <xdr:row>25</xdr:row>
      <xdr:rowOff>107919</xdr:rowOff>
    </xdr:from>
    <xdr:to>
      <xdr:col>9</xdr:col>
      <xdr:colOff>17159</xdr:colOff>
      <xdr:row>26</xdr:row>
      <xdr:rowOff>167792</xdr:rowOff>
    </xdr:to>
    <xdr:sp macro="" textlink="">
      <xdr:nvSpPr>
        <xdr:cNvPr id="22" name="CustomShape 1"/>
        <xdr:cNvSpPr/>
      </xdr:nvSpPr>
      <xdr:spPr>
        <a:xfrm rot="12046695">
          <a:off x="9604643" y="4679919"/>
          <a:ext cx="829056" cy="242753"/>
        </a:xfrm>
        <a:prstGeom prst="rightArrow">
          <a:avLst>
            <a:gd name="adj1" fmla="val 50000"/>
            <a:gd name="adj2" fmla="val 50000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5</xdr:col>
      <xdr:colOff>834938</xdr:colOff>
      <xdr:row>26</xdr:row>
      <xdr:rowOff>119740</xdr:rowOff>
    </xdr:from>
    <xdr:to>
      <xdr:col>5</xdr:col>
      <xdr:colOff>1077691</xdr:colOff>
      <xdr:row>41</xdr:row>
      <xdr:rowOff>152399</xdr:rowOff>
    </xdr:to>
    <xdr:sp macro="" textlink="">
      <xdr:nvSpPr>
        <xdr:cNvPr id="23" name="CustomShape 1"/>
        <xdr:cNvSpPr/>
      </xdr:nvSpPr>
      <xdr:spPr>
        <a:xfrm rot="16200000">
          <a:off x="5664386" y="6214107"/>
          <a:ext cx="2808516" cy="242753"/>
        </a:xfrm>
        <a:prstGeom prst="rightArrow">
          <a:avLst>
            <a:gd name="adj1" fmla="val 50000"/>
            <a:gd name="adj2" fmla="val 50000"/>
          </a:avLst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11</xdr:row>
      <xdr:rowOff>45720</xdr:rowOff>
    </xdr:from>
    <xdr:to>
      <xdr:col>5</xdr:col>
      <xdr:colOff>1546020</xdr:colOff>
      <xdr:row>22</xdr:row>
      <xdr:rowOff>66360</xdr:rowOff>
    </xdr:to>
    <xdr:pic>
      <xdr:nvPicPr>
        <xdr:cNvPr id="19" name="Image 5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2301240"/>
          <a:ext cx="6727620" cy="203232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donnees.banquemondiale.org/indicator/AG.LND.AGRI.K2?end=2016&amp;most_recent_value_desc=false&amp;start=1961&amp;type=points&amp;view=chart&amp;year=2010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r.wikipedia.org/wiki/Ressources_et_consommation_&#233;nerg&#233;tiques_mondiales" TargetMode="External"/><Relationship Id="rId1" Type="http://schemas.openxmlformats.org/officeDocument/2006/relationships/hyperlink" Target="https://www.researchgate.net/publication/343856871_Radiosounding_HARMonization_RHARM_a_new_homogenized_dataset_of_radiosounding_temperature_humidity_and_wind_profiles_with_uncertainty" TargetMode="External"/><Relationship Id="rId6" Type="http://schemas.openxmlformats.org/officeDocument/2006/relationships/hyperlink" Target="https://arxiv.org/pdf/1810.08658.pdf" TargetMode="External"/><Relationship Id="rId5" Type="http://schemas.openxmlformats.org/officeDocument/2006/relationships/hyperlink" Target="https://doi.org/10.1175/JCLI-3299.1" TargetMode="External"/><Relationship Id="rId4" Type="http://schemas.openxmlformats.org/officeDocument/2006/relationships/hyperlink" Target="https://donnees.banquemondiale.org/indicator/AG.LND.TOTL.UR.K2?end=2010&amp;most_recent_value_desc=false&amp;start=2010&amp;type=points&amp;view=bar&amp;year=2010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13" Type="http://schemas.openxmlformats.org/officeDocument/2006/relationships/comments" Target="../comments1.xml"/><Relationship Id="rId3" Type="http://schemas.openxmlformats.org/officeDocument/2006/relationships/hyperlink" Target="https://hess.copernicus.org/articles/24/3899/2020/" TargetMode="External"/><Relationship Id="rId7" Type="http://schemas.openxmlformats.org/officeDocument/2006/relationships/ctrlProp" Target="../ctrlProps/ctrlProp1.xml"/><Relationship Id="rId12" Type="http://schemas.openxmlformats.org/officeDocument/2006/relationships/ctrlProp" Target="../ctrlProps/ctrlProp6.xml"/><Relationship Id="rId2" Type="http://schemas.openxmlformats.org/officeDocument/2006/relationships/hyperlink" Target="http://www.fao.org/nr/water/aquastat/didyouknow/printfra1.stm" TargetMode="External"/><Relationship Id="rId1" Type="http://schemas.openxmlformats.org/officeDocument/2006/relationships/hyperlink" Target="https://www.pmodwrc.ch/en/research-development/solar-physics/tsi-composite/" TargetMode="External"/><Relationship Id="rId6" Type="http://schemas.openxmlformats.org/officeDocument/2006/relationships/vmlDrawing" Target="../drawings/vmlDrawing1.vml"/><Relationship Id="rId11" Type="http://schemas.openxmlformats.org/officeDocument/2006/relationships/ctrlProp" Target="../ctrlProps/ctrlProp5.xml"/><Relationship Id="rId5" Type="http://schemas.openxmlformats.org/officeDocument/2006/relationships/drawing" Target="../drawings/drawing2.xml"/><Relationship Id="rId10" Type="http://schemas.openxmlformats.org/officeDocument/2006/relationships/ctrlProp" Target="../ctrlProps/ctrlProp4.xml"/><Relationship Id="rId4" Type="http://schemas.openxmlformats.org/officeDocument/2006/relationships/printerSettings" Target="../printerSettings/printerSettings2.bin"/><Relationship Id="rId9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3.xml"/><Relationship Id="rId3" Type="http://schemas.openxmlformats.org/officeDocument/2006/relationships/hyperlink" Target="https://www.nasa.gov/sites/default/files/thumbnails/image/ceres-poster-011-v2.jpg" TargetMode="External"/><Relationship Id="rId7" Type="http://schemas.openxmlformats.org/officeDocument/2006/relationships/hyperlink" Target="https://ceres.larc.nasa.gov/documents/press_releases/images/ceres_brochure_1.pdf" TargetMode="External"/><Relationship Id="rId2" Type="http://schemas.openxmlformats.org/officeDocument/2006/relationships/hyperlink" Target="https://upload.wikimedia.org/wikipedia/commons/b/bb/The-NASA-Earth%27s-Energy-Budget-Poster-Radiant-Energy-System-satellite-infrared-radiation-fluxes.jpg" TargetMode="External"/><Relationship Id="rId1" Type="http://schemas.openxmlformats.org/officeDocument/2006/relationships/hyperlink" Target="https://www.ipcc.ch/site/assets/uploads/2018/02/Fig2-11-1.jpg" TargetMode="External"/><Relationship Id="rId6" Type="http://schemas.openxmlformats.org/officeDocument/2006/relationships/hyperlink" Target="https://acp.copernicus.org/articles/5/2847/2005/" TargetMode="External"/><Relationship Id="rId5" Type="http://schemas.openxmlformats.org/officeDocument/2006/relationships/hyperlink" Target="https://ep3vztogsj3zdd6p6fxpuoxcry--ceres-larc-nasa-gov.translate.goog/images/EnergyBudget.png" TargetMode="External"/><Relationship Id="rId4" Type="http://schemas.openxmlformats.org/officeDocument/2006/relationships/hyperlink" Target="https://ep3vztogsj3zdd6p6fxpuoxcry--ceres-larc-nasa-gov.translate.goog/images/EnergyBudget.png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fr.wikipedia.org/wiki/For%C3%A7age_radiatif" TargetMode="External"/><Relationship Id="rId1" Type="http://schemas.openxmlformats.org/officeDocument/2006/relationships/hyperlink" Target="https://agupubs.onlinelibrary.wiley.com/doi/pdfdirect/10.1029/98GL01908" TargetMode="External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"/>
  <sheetViews>
    <sheetView zoomScale="90" zoomScaleNormal="90" workbookViewId="0">
      <selection activeCell="F39" sqref="F39"/>
    </sheetView>
  </sheetViews>
  <sheetFormatPr baseColWidth="10" defaultColWidth="10.44140625" defaultRowHeight="14.4" x14ac:dyDescent="0.3"/>
  <cols>
    <col min="1" max="1" width="3.33203125" customWidth="1"/>
    <col min="2" max="2" width="23.33203125" customWidth="1"/>
    <col min="3" max="3" width="3.6640625" customWidth="1"/>
    <col min="8" max="8" width="6.6640625" customWidth="1"/>
    <col min="9" max="9" width="27.6640625" customWidth="1"/>
    <col min="11" max="11" width="13.44140625" customWidth="1"/>
    <col min="12" max="12" width="13.33203125" customWidth="1"/>
    <col min="13" max="13" width="14.21875" customWidth="1"/>
    <col min="14" max="14" width="12" customWidth="1"/>
    <col min="15" max="15" width="11.21875" customWidth="1"/>
    <col min="16" max="16" width="11.77734375" customWidth="1"/>
    <col min="17" max="17" width="11.44140625" customWidth="1"/>
    <col min="18" max="18" width="11.6640625" customWidth="1"/>
    <col min="19" max="19" width="5.33203125" customWidth="1"/>
    <col min="20" max="20" width="3.88671875" customWidth="1"/>
    <col min="21" max="21" width="13.21875" customWidth="1"/>
  </cols>
  <sheetData>
    <row r="1" spans="1:18" ht="15.6" x14ac:dyDescent="0.3">
      <c r="A1" s="1"/>
      <c r="B1" s="2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8" ht="19.2" customHeight="1" x14ac:dyDescent="0.3">
      <c r="A2" s="1"/>
      <c r="B2" s="3" t="s">
        <v>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8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8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8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1:18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8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</row>
    <row r="8" spans="1:18" ht="15" thickBo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</row>
    <row r="9" spans="1:18" x14ac:dyDescent="0.3">
      <c r="A9" s="1"/>
      <c r="B9" s="4" t="s">
        <v>2</v>
      </c>
      <c r="C9" s="1"/>
      <c r="D9" s="5" t="s">
        <v>3</v>
      </c>
      <c r="E9" s="6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8" ht="15" thickBot="1" x14ac:dyDescent="0.35">
      <c r="A10" s="1"/>
      <c r="B10" s="7">
        <v>4785543</v>
      </c>
      <c r="C10" s="1"/>
      <c r="D10" s="8" t="s">
        <v>4</v>
      </c>
      <c r="E10" s="9" t="s">
        <v>5</v>
      </c>
      <c r="F10" s="1"/>
      <c r="G10" s="1"/>
      <c r="H10" s="1"/>
      <c r="I10" s="1"/>
      <c r="J10" s="1"/>
      <c r="K10" s="1"/>
      <c r="L10" s="1"/>
      <c r="M10" s="1"/>
      <c r="N10" s="1"/>
      <c r="O10" s="1"/>
    </row>
    <row r="11" spans="1:18" x14ac:dyDescent="0.3">
      <c r="A11" s="1"/>
      <c r="B11" s="1"/>
      <c r="C11" s="1"/>
      <c r="D11" s="8">
        <f>2020-2004</f>
        <v>16</v>
      </c>
      <c r="E11" s="9" t="s">
        <v>6</v>
      </c>
      <c r="F11" s="1"/>
      <c r="G11" s="1"/>
      <c r="H11" s="1"/>
      <c r="I11" s="1"/>
      <c r="J11" s="1"/>
      <c r="K11" s="1"/>
      <c r="L11" s="1"/>
      <c r="M11" s="1"/>
      <c r="N11" s="1"/>
      <c r="O11" s="1"/>
    </row>
    <row r="12" spans="1:18" x14ac:dyDescent="0.3">
      <c r="A12" s="1"/>
      <c r="B12" s="1"/>
      <c r="C12" s="1"/>
      <c r="D12" s="10">
        <f>D11*365*24</f>
        <v>140160</v>
      </c>
      <c r="E12" s="11" t="s">
        <v>7</v>
      </c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8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</row>
    <row r="14" spans="1:18" x14ac:dyDescent="0.3">
      <c r="A14" s="1"/>
      <c r="B14" s="1" t="s">
        <v>8</v>
      </c>
      <c r="C14" s="1"/>
      <c r="D14" s="12" t="s">
        <v>9</v>
      </c>
      <c r="E14" s="13"/>
      <c r="F14" s="1"/>
      <c r="G14" s="1"/>
      <c r="H14" s="1"/>
      <c r="I14" s="1"/>
      <c r="J14" s="1"/>
      <c r="K14" s="1"/>
      <c r="L14" s="1"/>
      <c r="M14" s="1"/>
      <c r="N14" s="1"/>
      <c r="O14" s="1"/>
      <c r="R14" s="166"/>
    </row>
    <row r="15" spans="1:18" ht="15.6" x14ac:dyDescent="0.3">
      <c r="A15" s="1"/>
      <c r="B15" s="14">
        <f>B10/(D12)*D15</f>
        <v>68.286857876712332</v>
      </c>
      <c r="C15" s="1"/>
      <c r="D15" s="15">
        <v>2</v>
      </c>
      <c r="E15" s="16" t="s">
        <v>7</v>
      </c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1:18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</row>
    <row r="17" spans="1:20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1:20" x14ac:dyDescent="0.3">
      <c r="T18" s="1"/>
    </row>
    <row r="19" spans="1:20" ht="21" x14ac:dyDescent="0.4">
      <c r="B19" s="17" t="s">
        <v>10</v>
      </c>
      <c r="N19" s="168" t="s">
        <v>98</v>
      </c>
      <c r="O19" s="161"/>
      <c r="P19" s="161"/>
      <c r="T19" s="1"/>
    </row>
    <row r="20" spans="1:20" x14ac:dyDescent="0.3">
      <c r="B20" s="18" t="s">
        <v>11</v>
      </c>
      <c r="C20" s="19"/>
      <c r="D20" s="18" t="s">
        <v>12</v>
      </c>
      <c r="E20" s="18" t="s">
        <v>13</v>
      </c>
      <c r="M20" s="162" t="s">
        <v>88</v>
      </c>
      <c r="N20" s="163"/>
      <c r="O20" s="163"/>
      <c r="T20" s="1"/>
    </row>
    <row r="21" spans="1:20" x14ac:dyDescent="0.3">
      <c r="B21" s="20">
        <v>6.12E+20</v>
      </c>
      <c r="C21" s="19"/>
      <c r="D21" s="18">
        <f>3600*24*365.25</f>
        <v>31557600</v>
      </c>
      <c r="E21" s="20">
        <f>B21/D21</f>
        <v>19393109742185.719</v>
      </c>
      <c r="M21" s="77" t="s">
        <v>89</v>
      </c>
      <c r="N21" s="163"/>
      <c r="O21" s="163"/>
      <c r="T21" s="1"/>
    </row>
    <row r="22" spans="1:20" ht="15.6" x14ac:dyDescent="0.3">
      <c r="B22" s="21"/>
      <c r="D22" s="22"/>
      <c r="E22" s="21"/>
      <c r="O22" s="167" t="s">
        <v>99</v>
      </c>
      <c r="T22" s="1"/>
    </row>
    <row r="23" spans="1:20" x14ac:dyDescent="0.3">
      <c r="M23" s="128"/>
      <c r="N23" s="147" t="s">
        <v>90</v>
      </c>
      <c r="O23" s="147" t="s">
        <v>91</v>
      </c>
      <c r="P23" s="147" t="s">
        <v>92</v>
      </c>
      <c r="Q23" s="147" t="s">
        <v>93</v>
      </c>
      <c r="T23" s="1"/>
    </row>
    <row r="24" spans="1:20" ht="16.2" thickBot="1" x14ac:dyDescent="0.35">
      <c r="M24" s="153" t="s">
        <v>94</v>
      </c>
      <c r="N24" s="154">
        <v>11</v>
      </c>
      <c r="O24" s="148">
        <v>3.966E+18</v>
      </c>
      <c r="P24" s="148">
        <f>O24</f>
        <v>3.966E+18</v>
      </c>
      <c r="Q24" s="165">
        <f>P24/P$29</f>
        <v>0.77002232792932723</v>
      </c>
      <c r="R24" s="139" t="s">
        <v>101</v>
      </c>
      <c r="T24" s="1"/>
    </row>
    <row r="25" spans="1:20" ht="15.6" x14ac:dyDescent="0.3">
      <c r="B25" s="23" t="s">
        <v>14</v>
      </c>
      <c r="C25" s="24"/>
      <c r="D25" s="23">
        <v>510</v>
      </c>
      <c r="E25" s="23"/>
      <c r="M25" s="155" t="s">
        <v>95</v>
      </c>
      <c r="N25" s="156">
        <v>20</v>
      </c>
      <c r="O25" s="152">
        <v>8.9645E+17</v>
      </c>
      <c r="P25" s="148">
        <f>P24+O25</f>
        <v>4.86245E+18</v>
      </c>
      <c r="Q25" s="165">
        <f>P25/P$29</f>
        <v>0.94407339093291909</v>
      </c>
      <c r="R25" s="143"/>
      <c r="T25" s="1"/>
    </row>
    <row r="26" spans="1:20" ht="15.6" x14ac:dyDescent="0.3">
      <c r="B26" s="17" t="s">
        <v>15</v>
      </c>
      <c r="M26" s="157" t="s">
        <v>95</v>
      </c>
      <c r="N26" s="158">
        <v>32</v>
      </c>
      <c r="O26" s="152">
        <v>2.4144E+17</v>
      </c>
      <c r="P26" s="148">
        <f>P25+O26</f>
        <v>5.10389E+18</v>
      </c>
      <c r="Q26" s="165">
        <f>P26/P$29</f>
        <v>0.9909503931657121</v>
      </c>
      <c r="R26" s="144" t="s">
        <v>95</v>
      </c>
      <c r="T26" s="1"/>
    </row>
    <row r="27" spans="1:20" ht="15.6" x14ac:dyDescent="0.3">
      <c r="B27" s="25" t="s">
        <v>16</v>
      </c>
      <c r="C27" s="26"/>
      <c r="D27" s="25">
        <v>49</v>
      </c>
      <c r="E27" s="27">
        <f>D27/D25</f>
        <v>9.6078431372549025E-2</v>
      </c>
      <c r="M27" s="157" t="s">
        <v>95</v>
      </c>
      <c r="N27" s="158">
        <v>47</v>
      </c>
      <c r="O27" s="152">
        <v>3.984E+16</v>
      </c>
      <c r="P27" s="150">
        <f>P26+O27</f>
        <v>5.14373E+18</v>
      </c>
      <c r="Q27" s="165">
        <f>P27/P$29</f>
        <v>0.99868556450830015</v>
      </c>
      <c r="R27" s="145">
        <v>0.22</v>
      </c>
      <c r="T27" s="1"/>
    </row>
    <row r="28" spans="1:20" ht="16.2" thickBot="1" x14ac:dyDescent="0.35">
      <c r="B28" s="25" t="s">
        <v>17</v>
      </c>
      <c r="C28" s="26"/>
      <c r="D28" s="28">
        <v>12</v>
      </c>
      <c r="E28" s="29">
        <f>D28/D25</f>
        <v>2.3529411764705882E-2</v>
      </c>
      <c r="M28" s="159" t="s">
        <v>95</v>
      </c>
      <c r="N28" s="160">
        <v>51</v>
      </c>
      <c r="O28" s="152">
        <v>2320000000000000</v>
      </c>
      <c r="P28" s="150">
        <f>P27+O28</f>
        <v>5.14605E+18</v>
      </c>
      <c r="Q28" s="149">
        <f>P28/P$29</f>
        <v>0.99913600621298904</v>
      </c>
      <c r="R28" s="146"/>
      <c r="T28" s="1"/>
    </row>
    <row r="29" spans="1:20" x14ac:dyDescent="0.3">
      <c r="B29" s="25" t="s">
        <v>18</v>
      </c>
      <c r="C29" s="26"/>
      <c r="D29" s="25">
        <f>D27-D28</f>
        <v>37</v>
      </c>
      <c r="E29" s="27">
        <f>D29/D25</f>
        <v>7.2549019607843143E-2</v>
      </c>
      <c r="M29" s="140" t="s">
        <v>96</v>
      </c>
      <c r="N29" s="141"/>
      <c r="O29" s="138">
        <f>P30-O24-O25-O26-O27-O28</f>
        <v>4450000000000000</v>
      </c>
      <c r="P29" s="151">
        <f>P28+O29</f>
        <v>5.1505E+18</v>
      </c>
      <c r="Q29" s="58"/>
      <c r="T29" s="1"/>
    </row>
    <row r="30" spans="1:20" x14ac:dyDescent="0.3">
      <c r="B30" s="23" t="s">
        <v>19</v>
      </c>
      <c r="C30" s="24"/>
      <c r="D30" s="28">
        <v>3.6</v>
      </c>
      <c r="E30" s="30">
        <f>D30/D25</f>
        <v>7.058823529411765E-3</v>
      </c>
      <c r="M30" s="137" t="s">
        <v>97</v>
      </c>
      <c r="N30" s="137"/>
      <c r="O30" s="142"/>
      <c r="P30" s="164">
        <v>5.1505E+18</v>
      </c>
      <c r="Q30" s="58"/>
      <c r="T30" s="1"/>
    </row>
    <row r="31" spans="1:20" x14ac:dyDescent="0.3">
      <c r="B31" s="31" t="s">
        <v>20</v>
      </c>
      <c r="C31" s="26"/>
      <c r="D31" s="25"/>
      <c r="E31" s="25"/>
      <c r="T31" s="1"/>
    </row>
    <row r="32" spans="1:20" ht="15.6" x14ac:dyDescent="0.3">
      <c r="B32" s="25" t="s">
        <v>21</v>
      </c>
      <c r="C32" s="26"/>
      <c r="D32" s="28">
        <f>D30+D28</f>
        <v>15.6</v>
      </c>
      <c r="E32" s="32">
        <f>D32/D25</f>
        <v>3.0588235294117645E-2</v>
      </c>
      <c r="O32" s="167" t="s">
        <v>100</v>
      </c>
      <c r="T32" s="1"/>
    </row>
    <row r="33" spans="12:20" x14ac:dyDescent="0.3">
      <c r="M33" s="128"/>
      <c r="N33" s="147" t="s">
        <v>90</v>
      </c>
      <c r="O33" s="147" t="s">
        <v>91</v>
      </c>
      <c r="P33" s="147" t="s">
        <v>92</v>
      </c>
      <c r="Q33" s="147" t="s">
        <v>93</v>
      </c>
      <c r="T33" s="1"/>
    </row>
    <row r="34" spans="12:20" ht="16.2" thickBot="1" x14ac:dyDescent="0.35">
      <c r="M34" s="153" t="s">
        <v>94</v>
      </c>
      <c r="N34" s="154">
        <v>11</v>
      </c>
      <c r="O34" s="148">
        <v>3.9544E+18</v>
      </c>
      <c r="P34" s="148">
        <f>O34</f>
        <v>3.9544E+18</v>
      </c>
      <c r="Q34" s="165">
        <f>P34/P$40</f>
        <v>0.76964248526168899</v>
      </c>
      <c r="R34" s="139" t="s">
        <v>101</v>
      </c>
      <c r="T34" s="1"/>
    </row>
    <row r="35" spans="12:20" ht="15.6" x14ac:dyDescent="0.3">
      <c r="M35" s="155" t="s">
        <v>95</v>
      </c>
      <c r="N35" s="156">
        <v>20</v>
      </c>
      <c r="O35" s="152">
        <v>8.9645E+17</v>
      </c>
      <c r="P35" s="148">
        <f>P34+O35</f>
        <v>4.85085E+18</v>
      </c>
      <c r="Q35" s="165">
        <f t="shared" ref="Q35:Q38" si="0">P35/P$40</f>
        <v>0.94411800769564636</v>
      </c>
      <c r="R35" s="143"/>
      <c r="T35" s="1"/>
    </row>
    <row r="36" spans="12:20" ht="15.6" x14ac:dyDescent="0.3">
      <c r="M36" s="157" t="s">
        <v>95</v>
      </c>
      <c r="N36" s="158">
        <v>32</v>
      </c>
      <c r="O36" s="152">
        <v>2.4144E+17</v>
      </c>
      <c r="P36" s="148">
        <f t="shared" ref="P36:P39" si="1">P35+O36</f>
        <v>5.09229E+18</v>
      </c>
      <c r="Q36" s="165">
        <f t="shared" si="0"/>
        <v>0.99110932917085925</v>
      </c>
      <c r="R36" s="144" t="s">
        <v>95</v>
      </c>
      <c r="T36" s="1"/>
    </row>
    <row r="37" spans="12:20" ht="15.6" x14ac:dyDescent="0.3">
      <c r="M37" s="157" t="s">
        <v>95</v>
      </c>
      <c r="N37" s="158">
        <v>47</v>
      </c>
      <c r="O37" s="152">
        <v>3.9839E+16</v>
      </c>
      <c r="P37" s="148">
        <f t="shared" si="1"/>
        <v>5.132129E+18</v>
      </c>
      <c r="Q37" s="165">
        <f t="shared" si="0"/>
        <v>0.99886316969542444</v>
      </c>
      <c r="R37" s="145">
        <v>0.22</v>
      </c>
      <c r="T37" s="1"/>
    </row>
    <row r="38" spans="12:20" ht="16.2" thickBot="1" x14ac:dyDescent="0.35">
      <c r="M38" s="159" t="s">
        <v>95</v>
      </c>
      <c r="N38" s="160">
        <v>51</v>
      </c>
      <c r="O38" s="152">
        <v>2322300000000000</v>
      </c>
      <c r="P38" s="148">
        <f t="shared" si="1"/>
        <v>5.1344513E+18</v>
      </c>
      <c r="Q38" s="165">
        <f t="shared" si="0"/>
        <v>0.9993151575427649</v>
      </c>
      <c r="R38" s="146"/>
      <c r="T38" s="1"/>
    </row>
    <row r="39" spans="12:20" x14ac:dyDescent="0.3">
      <c r="M39" s="140" t="s">
        <v>96</v>
      </c>
      <c r="N39" s="141"/>
      <c r="O39" s="138">
        <f>P40-P38</f>
        <v>3518700000000000</v>
      </c>
      <c r="P39" s="148">
        <f t="shared" si="1"/>
        <v>5.13797E+18</v>
      </c>
      <c r="Q39" s="58"/>
      <c r="T39" s="1"/>
    </row>
    <row r="40" spans="12:20" x14ac:dyDescent="0.3">
      <c r="M40" s="137" t="s">
        <v>97</v>
      </c>
      <c r="N40" s="137"/>
      <c r="O40" s="142"/>
      <c r="P40" s="164">
        <v>5.13797E+18</v>
      </c>
      <c r="Q40" s="58"/>
      <c r="T40" s="1"/>
    </row>
    <row r="41" spans="12:20" x14ac:dyDescent="0.3">
      <c r="T41" s="1"/>
    </row>
    <row r="42" spans="12:20" x14ac:dyDescent="0.3">
      <c r="L42" s="1"/>
      <c r="M42" s="1"/>
      <c r="N42" s="1"/>
      <c r="O42" s="1"/>
      <c r="P42" s="1"/>
      <c r="Q42" s="1"/>
      <c r="R42" s="1"/>
      <c r="S42" s="1"/>
      <c r="T42" s="1"/>
    </row>
  </sheetData>
  <hyperlinks>
    <hyperlink ref="B2" r:id="rId1"/>
    <hyperlink ref="B19" r:id="rId2" location="Consommation_énergétique_mondiale"/>
    <hyperlink ref="B26" r:id="rId3"/>
    <hyperlink ref="B31" r:id="rId4"/>
    <hyperlink ref="M20" r:id="rId5"/>
    <hyperlink ref="M21" r:id="rId6"/>
  </hyperlinks>
  <pageMargins left="0.7" right="0.7" top="0.75" bottom="0.75" header="0.51180555555555496" footer="0.51180555555555496"/>
  <pageSetup paperSize="9" firstPageNumber="0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P27"/>
  <sheetViews>
    <sheetView zoomScaleNormal="100" workbookViewId="0">
      <selection activeCell="B31" sqref="B31"/>
    </sheetView>
  </sheetViews>
  <sheetFormatPr baseColWidth="10" defaultRowHeight="14.4" x14ac:dyDescent="0.3"/>
  <cols>
    <col min="1" max="1" width="23.5546875" style="99" customWidth="1"/>
    <col min="2" max="2" width="12.44140625" style="99" bestFit="1" customWidth="1"/>
    <col min="3" max="3" width="13.44140625" style="99" bestFit="1" customWidth="1"/>
    <col min="4" max="4" width="11.5546875" style="99"/>
    <col min="5" max="5" width="19.88671875" style="99" customWidth="1"/>
    <col min="6" max="6" width="3.109375" style="99" customWidth="1"/>
    <col min="7" max="7" width="5.88671875" style="99" customWidth="1"/>
    <col min="8" max="8" width="26" style="99" customWidth="1"/>
    <col min="9" max="10" width="12" style="99" bestFit="1" customWidth="1"/>
    <col min="11" max="11" width="5.21875" style="99" customWidth="1"/>
    <col min="12" max="15" width="11.5546875" style="99"/>
    <col min="16" max="16" width="12" style="99" bestFit="1" customWidth="1"/>
    <col min="17" max="16384" width="11.5546875" style="99"/>
  </cols>
  <sheetData>
    <row r="1" spans="1:16" x14ac:dyDescent="0.3">
      <c r="A1" s="98" t="s">
        <v>22</v>
      </c>
      <c r="F1" s="100"/>
      <c r="H1" s="98" t="s">
        <v>23</v>
      </c>
    </row>
    <row r="2" spans="1:16" x14ac:dyDescent="0.3">
      <c r="F2" s="100"/>
      <c r="H2" s="77" t="s">
        <v>24</v>
      </c>
    </row>
    <row r="3" spans="1:16" x14ac:dyDescent="0.3">
      <c r="F3" s="100"/>
      <c r="H3" s="101" t="s">
        <v>25</v>
      </c>
      <c r="I3" s="102">
        <f>J3/100</f>
        <v>1.1000000000000001</v>
      </c>
      <c r="J3" s="99">
        <v>110</v>
      </c>
    </row>
    <row r="4" spans="1:16" ht="21" x14ac:dyDescent="0.4">
      <c r="A4" s="103" t="s">
        <v>26</v>
      </c>
      <c r="B4" s="104" t="s">
        <v>26</v>
      </c>
      <c r="F4" s="100"/>
      <c r="H4" s="101" t="s">
        <v>27</v>
      </c>
      <c r="I4" s="105">
        <f>I3*1000/365.4</f>
        <v>3.0103995621237001</v>
      </c>
    </row>
    <row r="5" spans="1:16" x14ac:dyDescent="0.3">
      <c r="A5" s="106" t="s">
        <v>28</v>
      </c>
      <c r="B5" s="107">
        <v>1361</v>
      </c>
      <c r="F5" s="100"/>
      <c r="H5" s="101" t="s">
        <v>29</v>
      </c>
      <c r="I5" s="101">
        <f>I3*510000000000000</f>
        <v>561000000000000.06</v>
      </c>
    </row>
    <row r="6" spans="1:16" x14ac:dyDescent="0.3">
      <c r="A6" s="106" t="s">
        <v>30</v>
      </c>
      <c r="B6" s="108">
        <f>(-350+C6)/10000</f>
        <v>-2.0000000000000001E-4</v>
      </c>
      <c r="C6" s="99">
        <v>348</v>
      </c>
      <c r="F6" s="100"/>
      <c r="H6" s="101" t="s">
        <v>31</v>
      </c>
      <c r="I6" s="101">
        <f>I5*2454*1000000</f>
        <v>1.3766940000000002E+24</v>
      </c>
    </row>
    <row r="7" spans="1:16" ht="15.6" x14ac:dyDescent="0.3">
      <c r="A7" s="106" t="s">
        <v>32</v>
      </c>
      <c r="B7" s="109">
        <f>(-100+C7)/50000</f>
        <v>0</v>
      </c>
      <c r="C7" s="99">
        <v>100</v>
      </c>
      <c r="F7" s="100"/>
      <c r="H7" s="101" t="s">
        <v>33</v>
      </c>
      <c r="I7" s="110">
        <f>I6/3.1536E+22</f>
        <v>43.654680365296812</v>
      </c>
      <c r="J7" s="111"/>
      <c r="K7" s="112">
        <f>I7/0.51</f>
        <v>85.597412480974143</v>
      </c>
      <c r="L7" s="99" t="s">
        <v>34</v>
      </c>
    </row>
    <row r="8" spans="1:16" x14ac:dyDescent="0.3">
      <c r="A8" s="113" t="s">
        <v>35</v>
      </c>
      <c r="B8" s="114">
        <v>0</v>
      </c>
      <c r="F8" s="100"/>
      <c r="H8" s="115"/>
      <c r="I8" s="115"/>
    </row>
    <row r="9" spans="1:16" x14ac:dyDescent="0.3">
      <c r="A9" s="107" t="s">
        <v>36</v>
      </c>
      <c r="B9" s="116">
        <f>B5*(1+B6+B7+B8)</f>
        <v>1360.7278000000001</v>
      </c>
      <c r="C9" s="99" t="s">
        <v>37</v>
      </c>
      <c r="F9" s="100"/>
      <c r="H9" s="115" t="s">
        <v>38</v>
      </c>
      <c r="I9" s="117">
        <f>J9/1000</f>
        <v>8.67</v>
      </c>
      <c r="J9" s="99">
        <f>K9*510</f>
        <v>8670</v>
      </c>
      <c r="K9" s="118">
        <v>17</v>
      </c>
      <c r="L9" s="99" t="s">
        <v>34</v>
      </c>
    </row>
    <row r="10" spans="1:16" x14ac:dyDescent="0.3">
      <c r="A10" s="119" t="s">
        <v>39</v>
      </c>
      <c r="B10" s="119">
        <f>(6371+12)</f>
        <v>6383</v>
      </c>
      <c r="F10" s="100"/>
      <c r="H10" s="120" t="s">
        <v>40</v>
      </c>
      <c r="I10" s="121">
        <v>0</v>
      </c>
    </row>
    <row r="11" spans="1:16" ht="23.4" x14ac:dyDescent="0.45">
      <c r="A11" s="119" t="s">
        <v>41</v>
      </c>
      <c r="B11" s="122">
        <f>PI()*B10*B10*1000000</f>
        <v>127996932449893.69</v>
      </c>
      <c r="F11" s="100"/>
      <c r="H11" s="123" t="s">
        <v>86</v>
      </c>
      <c r="I11" s="124">
        <f>I7+I9+I10</f>
        <v>52.324680365296814</v>
      </c>
    </row>
    <row r="12" spans="1:16" ht="21" x14ac:dyDescent="0.4">
      <c r="A12" s="125" t="s">
        <v>87</v>
      </c>
      <c r="B12" s="126">
        <f>B11*B9*0.000000000000001</f>
        <v>174.16898429929248</v>
      </c>
      <c r="C12" s="127">
        <f>B12/0.51</f>
        <v>341.50781235155387</v>
      </c>
      <c r="D12" s="99" t="s">
        <v>34</v>
      </c>
      <c r="F12" s="100"/>
      <c r="H12" s="128" t="s">
        <v>42</v>
      </c>
      <c r="I12" s="33">
        <v>1.3E+16</v>
      </c>
    </row>
    <row r="13" spans="1:16" x14ac:dyDescent="0.3">
      <c r="F13" s="100"/>
      <c r="H13" s="128" t="s">
        <v>43</v>
      </c>
      <c r="I13" s="34">
        <f>I5*1000/365</f>
        <v>1536986301369863.2</v>
      </c>
    </row>
    <row r="14" spans="1:16" ht="12" customHeight="1" x14ac:dyDescent="0.3">
      <c r="A14" s="100"/>
      <c r="B14" s="100"/>
      <c r="C14" s="100"/>
      <c r="D14" s="100"/>
      <c r="E14" s="100"/>
      <c r="F14" s="100"/>
      <c r="H14" s="35" t="s">
        <v>44</v>
      </c>
      <c r="I14" s="36">
        <f>I12/I13</f>
        <v>8.4581105169340454</v>
      </c>
    </row>
    <row r="15" spans="1:16" x14ac:dyDescent="0.3">
      <c r="B15" s="129">
        <v>298</v>
      </c>
      <c r="F15" s="100"/>
    </row>
    <row r="16" spans="1:16" ht="18" x14ac:dyDescent="0.35">
      <c r="A16" s="130" t="s">
        <v>45</v>
      </c>
      <c r="B16" s="131">
        <f>B15/1000</f>
        <v>0.29799999999999999</v>
      </c>
      <c r="E16" s="99" t="s">
        <v>46</v>
      </c>
      <c r="F16" s="100"/>
      <c r="P16" s="132"/>
    </row>
    <row r="17" spans="1:16" ht="21" x14ac:dyDescent="0.4">
      <c r="A17" s="133" t="s">
        <v>47</v>
      </c>
      <c r="B17" s="126">
        <f>B12*B16</f>
        <v>51.902357321189157</v>
      </c>
      <c r="C17" s="127">
        <f>B17/0.51</f>
        <v>101.76932808076305</v>
      </c>
      <c r="D17" s="99" t="s">
        <v>34</v>
      </c>
      <c r="E17" s="99" t="s">
        <v>48</v>
      </c>
      <c r="F17" s="100"/>
    </row>
    <row r="18" spans="1:16" x14ac:dyDescent="0.3">
      <c r="F18" s="100"/>
    </row>
    <row r="19" spans="1:16" x14ac:dyDescent="0.3">
      <c r="A19" s="100"/>
      <c r="B19" s="100"/>
      <c r="C19" s="100"/>
      <c r="D19" s="100"/>
      <c r="E19" s="100"/>
      <c r="F19" s="100"/>
    </row>
    <row r="20" spans="1:16" ht="18" x14ac:dyDescent="0.35">
      <c r="A20" s="130" t="s">
        <v>49</v>
      </c>
      <c r="F20" s="100"/>
      <c r="P20" s="132"/>
    </row>
    <row r="21" spans="1:16" ht="15.6" x14ac:dyDescent="0.3">
      <c r="A21" s="99" t="s">
        <v>50</v>
      </c>
      <c r="B21" s="134">
        <f>B12-B17</f>
        <v>122.26662697810332</v>
      </c>
      <c r="C21" s="127">
        <f>B21/0.515</f>
        <v>237.41092617107441</v>
      </c>
      <c r="D21" s="99" t="s">
        <v>34</v>
      </c>
      <c r="F21" s="100"/>
    </row>
    <row r="22" spans="1:16" x14ac:dyDescent="0.3">
      <c r="A22" s="99" t="s">
        <v>51</v>
      </c>
      <c r="B22" s="135">
        <f>C22*0.515</f>
        <v>123.08500000000001</v>
      </c>
      <c r="C22" s="111">
        <v>239</v>
      </c>
      <c r="D22" s="99" t="s">
        <v>34</v>
      </c>
      <c r="F22" s="100"/>
    </row>
    <row r="23" spans="1:16" x14ac:dyDescent="0.3">
      <c r="F23" s="100"/>
    </row>
    <row r="24" spans="1:16" x14ac:dyDescent="0.3">
      <c r="A24" s="100"/>
      <c r="B24" s="100"/>
      <c r="C24" s="100"/>
      <c r="D24" s="100"/>
      <c r="E24" s="100"/>
      <c r="F24" s="100"/>
    </row>
    <row r="27" spans="1:16" x14ac:dyDescent="0.3">
      <c r="B27" s="136"/>
    </row>
  </sheetData>
  <hyperlinks>
    <hyperlink ref="A1" r:id="rId1"/>
    <hyperlink ref="H1" r:id="rId2"/>
    <hyperlink ref="H2" r:id="rId3"/>
  </hyperlinks>
  <pageMargins left="0.7" right="0.7" top="0.75" bottom="0.75" header="0.3" footer="0.3"/>
  <pageSetup paperSize="9" orientation="portrait" verticalDpi="0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Scroll Bar 1">
              <controlPr defaultSize="0" autoPict="0">
                <anchor moveWithCells="1">
                  <from>
                    <xdr:col>2</xdr:col>
                    <xdr:colOff>38100</xdr:colOff>
                    <xdr:row>5</xdr:row>
                    <xdr:rowOff>22860</xdr:rowOff>
                  </from>
                  <to>
                    <xdr:col>2</xdr:col>
                    <xdr:colOff>807720</xdr:colOff>
                    <xdr:row>5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Scroll Bar 2">
              <controlPr defaultSize="0" autoPict="0">
                <anchor moveWithCells="1">
                  <from>
                    <xdr:col>2</xdr:col>
                    <xdr:colOff>15240</xdr:colOff>
                    <xdr:row>6</xdr:row>
                    <xdr:rowOff>68580</xdr:rowOff>
                  </from>
                  <to>
                    <xdr:col>2</xdr:col>
                    <xdr:colOff>838200</xdr:colOff>
                    <xdr:row>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9" name="Scroll Bar 3">
              <controlPr defaultSize="0" autoPict="0">
                <anchor moveWithCells="1">
                  <from>
                    <xdr:col>9</xdr:col>
                    <xdr:colOff>60960</xdr:colOff>
                    <xdr:row>2</xdr:row>
                    <xdr:rowOff>15240</xdr:rowOff>
                  </from>
                  <to>
                    <xdr:col>10</xdr:col>
                    <xdr:colOff>38100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10" name="Scroll Bar 4">
              <controlPr defaultSize="0" autoPict="0">
                <anchor moveWithCells="1">
                  <from>
                    <xdr:col>9</xdr:col>
                    <xdr:colOff>7620</xdr:colOff>
                    <xdr:row>8</xdr:row>
                    <xdr:rowOff>0</xdr:rowOff>
                  </from>
                  <to>
                    <xdr:col>9</xdr:col>
                    <xdr:colOff>792480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11" name="Scroll Bar 5">
              <controlPr defaultSize="0" autoPict="0">
                <anchor moveWithCells="1">
                  <from>
                    <xdr:col>0</xdr:col>
                    <xdr:colOff>662940</xdr:colOff>
                    <xdr:row>15</xdr:row>
                    <xdr:rowOff>15240</xdr:rowOff>
                  </from>
                  <to>
                    <xdr:col>0</xdr:col>
                    <xdr:colOff>1569720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12" name="Scroll Bar 6">
              <controlPr defaultSize="0" autoPict="0">
                <anchor moveWithCells="1">
                  <from>
                    <xdr:col>0</xdr:col>
                    <xdr:colOff>678180</xdr:colOff>
                    <xdr:row>20</xdr:row>
                    <xdr:rowOff>175260</xdr:rowOff>
                  </from>
                  <to>
                    <xdr:col>0</xdr:col>
                    <xdr:colOff>1569720</xdr:colOff>
                    <xdr:row>22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0"/>
  <sheetViews>
    <sheetView zoomScale="90" zoomScaleNormal="90" workbookViewId="0">
      <selection activeCell="A11" sqref="A11"/>
    </sheetView>
  </sheetViews>
  <sheetFormatPr baseColWidth="10" defaultColWidth="11.5546875" defaultRowHeight="14.4" x14ac:dyDescent="0.3"/>
  <cols>
    <col min="1" max="1" width="37.44140625" customWidth="1"/>
    <col min="2" max="2" width="15.109375" customWidth="1"/>
    <col min="5" max="5" width="13.44140625" customWidth="1"/>
    <col min="6" max="6" width="18.5546875" customWidth="1"/>
    <col min="7" max="7" width="16" customWidth="1"/>
    <col min="8" max="8" width="16.6640625" customWidth="1"/>
    <col min="16" max="16" width="13.109375" customWidth="1"/>
  </cols>
  <sheetData>
    <row r="2" spans="2:15" x14ac:dyDescent="0.3">
      <c r="D2" s="37" t="s">
        <v>52</v>
      </c>
      <c r="H2" s="38" t="s">
        <v>53</v>
      </c>
    </row>
    <row r="3" spans="2:15" x14ac:dyDescent="0.3">
      <c r="E3" s="39" t="s">
        <v>54</v>
      </c>
      <c r="G3" s="37" t="s">
        <v>55</v>
      </c>
    </row>
    <row r="4" spans="2:15" x14ac:dyDescent="0.3">
      <c r="B4" s="40"/>
      <c r="C4" s="41" t="s">
        <v>56</v>
      </c>
      <c r="D4" s="42" t="s">
        <v>57</v>
      </c>
      <c r="E4" s="43" t="s">
        <v>58</v>
      </c>
      <c r="F4" s="44" t="s">
        <v>59</v>
      </c>
      <c r="G4" s="91" t="s">
        <v>60</v>
      </c>
      <c r="H4" s="45" t="s">
        <v>61</v>
      </c>
    </row>
    <row r="5" spans="2:15" x14ac:dyDescent="0.3">
      <c r="B5" s="40" t="s">
        <v>62</v>
      </c>
      <c r="C5" s="46">
        <f>C6/0.51</f>
        <v>101.96078431372548</v>
      </c>
      <c r="D5" s="47">
        <v>100</v>
      </c>
      <c r="E5" s="48">
        <f>77+23</f>
        <v>100</v>
      </c>
      <c r="F5" s="49">
        <v>102.4</v>
      </c>
      <c r="G5" s="92">
        <v>99</v>
      </c>
      <c r="H5" s="50">
        <v>107</v>
      </c>
      <c r="J5" s="17" t="s">
        <v>55</v>
      </c>
    </row>
    <row r="6" spans="2:15" x14ac:dyDescent="0.3">
      <c r="B6" s="40"/>
      <c r="C6" s="41">
        <v>52</v>
      </c>
      <c r="D6" s="42">
        <f>D5*0.51</f>
        <v>51</v>
      </c>
      <c r="E6" s="43">
        <f>E5*0.51</f>
        <v>51</v>
      </c>
      <c r="F6" s="44">
        <f>0.3*174</f>
        <v>52.199999999999996</v>
      </c>
      <c r="G6" s="93">
        <f>G5*0.51</f>
        <v>50.49</v>
      </c>
      <c r="H6" s="52">
        <f>H5*0.51</f>
        <v>54.57</v>
      </c>
      <c r="N6" s="53" t="s">
        <v>63</v>
      </c>
      <c r="O6" s="54"/>
    </row>
    <row r="7" spans="2:15" x14ac:dyDescent="0.3">
      <c r="B7" s="40" t="s">
        <v>64</v>
      </c>
      <c r="C7" s="41">
        <v>39</v>
      </c>
      <c r="D7" s="51">
        <f>D6-D8</f>
        <v>38.76</v>
      </c>
      <c r="E7" s="55">
        <f>0.77*E6</f>
        <v>39.270000000000003</v>
      </c>
      <c r="F7" s="56">
        <f>0.75*F6</f>
        <v>39.15</v>
      </c>
      <c r="G7" s="93">
        <f>G6-G8</f>
        <v>38.760000000000005</v>
      </c>
      <c r="H7" s="52">
        <f>77*0.51</f>
        <v>39.270000000000003</v>
      </c>
      <c r="K7" t="s">
        <v>65</v>
      </c>
      <c r="L7" t="s">
        <v>65</v>
      </c>
      <c r="M7" s="57" t="s">
        <v>66</v>
      </c>
      <c r="N7" s="54" t="s">
        <v>67</v>
      </c>
      <c r="O7" s="54"/>
    </row>
    <row r="8" spans="2:15" x14ac:dyDescent="0.3">
      <c r="B8" s="40" t="s">
        <v>68</v>
      </c>
      <c r="C8" s="41">
        <v>13</v>
      </c>
      <c r="D8" s="51">
        <f>0.24*D6</f>
        <v>12.24</v>
      </c>
      <c r="E8" s="55">
        <f>E6-E7</f>
        <v>11.729999999999997</v>
      </c>
      <c r="F8" s="56">
        <f>F6-F7</f>
        <v>13.049999999999997</v>
      </c>
      <c r="G8" s="93">
        <f>23*0.51</f>
        <v>11.73</v>
      </c>
      <c r="H8" s="52">
        <f>H6-H7</f>
        <v>15.299999999999997</v>
      </c>
      <c r="K8" s="58"/>
      <c r="L8" s="58"/>
      <c r="M8" s="58"/>
      <c r="N8" s="54"/>
      <c r="O8" s="54"/>
    </row>
    <row r="9" spans="2:15" x14ac:dyDescent="0.3">
      <c r="B9" s="40"/>
      <c r="C9" s="41"/>
      <c r="D9" s="42"/>
      <c r="E9" s="43"/>
      <c r="F9" s="44"/>
      <c r="G9" s="91"/>
      <c r="H9" s="45"/>
      <c r="K9" s="59">
        <v>340</v>
      </c>
      <c r="L9" s="58"/>
      <c r="M9" s="58"/>
      <c r="N9" s="54"/>
      <c r="O9" s="54"/>
    </row>
    <row r="10" spans="2:15" x14ac:dyDescent="0.3">
      <c r="B10" s="60" t="s">
        <v>69</v>
      </c>
      <c r="C10" s="61">
        <f>C11/0.51</f>
        <v>84.313725490196077</v>
      </c>
      <c r="D10" s="47">
        <v>79</v>
      </c>
      <c r="E10" s="48">
        <v>77</v>
      </c>
      <c r="F10" s="47">
        <f>17+62</f>
        <v>79</v>
      </c>
      <c r="G10" s="94">
        <v>77</v>
      </c>
      <c r="H10" s="45">
        <v>67</v>
      </c>
      <c r="K10" s="59">
        <v>164</v>
      </c>
      <c r="L10" s="89">
        <f>K10/K9</f>
        <v>0.4823529411764706</v>
      </c>
      <c r="M10" s="62">
        <f>C16/174</f>
        <v>0.45402298850574713</v>
      </c>
      <c r="N10" s="54">
        <v>149.4</v>
      </c>
      <c r="O10" s="90">
        <f>N10/340</f>
        <v>0.43941176470588239</v>
      </c>
    </row>
    <row r="11" spans="2:15" x14ac:dyDescent="0.3">
      <c r="B11" s="40"/>
      <c r="C11" s="41">
        <v>43</v>
      </c>
      <c r="D11" s="63">
        <f>D10*0.51</f>
        <v>40.29</v>
      </c>
      <c r="E11" s="64">
        <f>E10*0.51</f>
        <v>39.270000000000003</v>
      </c>
      <c r="F11" s="63">
        <f>F10*0.51</f>
        <v>40.29</v>
      </c>
      <c r="G11" s="95">
        <f>G10*0.51</f>
        <v>39.270000000000003</v>
      </c>
      <c r="H11" s="52">
        <f>H10*0.51</f>
        <v>34.17</v>
      </c>
      <c r="K11" s="59">
        <f>164+23</f>
        <v>187</v>
      </c>
      <c r="L11" s="89">
        <f>K11/K9</f>
        <v>0.55000000000000004</v>
      </c>
      <c r="M11" s="62">
        <f>C15/174</f>
        <v>0.52873563218390807</v>
      </c>
      <c r="N11" s="54">
        <v>171.6</v>
      </c>
      <c r="O11" s="90">
        <f>N11/340</f>
        <v>0.50470588235294112</v>
      </c>
    </row>
    <row r="12" spans="2:15" x14ac:dyDescent="0.3">
      <c r="B12" s="40"/>
      <c r="C12" s="57"/>
      <c r="D12" s="58"/>
      <c r="E12" s="65"/>
      <c r="F12" s="58"/>
      <c r="G12" s="94"/>
      <c r="H12" s="45"/>
    </row>
    <row r="13" spans="2:15" x14ac:dyDescent="0.3">
      <c r="B13" s="40"/>
      <c r="C13" s="57"/>
      <c r="D13" s="58"/>
      <c r="E13" s="65"/>
      <c r="F13" s="58"/>
      <c r="G13" s="94"/>
      <c r="H13" s="45"/>
    </row>
    <row r="14" spans="2:15" x14ac:dyDescent="0.3">
      <c r="B14" s="60" t="s">
        <v>70</v>
      </c>
      <c r="C14" s="61">
        <f>C15/0.51</f>
        <v>180.39215686274508</v>
      </c>
      <c r="D14" s="47">
        <v>185</v>
      </c>
      <c r="E14" s="48">
        <f>163+23</f>
        <v>186</v>
      </c>
      <c r="F14" s="47">
        <v>161</v>
      </c>
      <c r="G14" s="92">
        <f>164+23</f>
        <v>187</v>
      </c>
      <c r="H14" s="45">
        <f>168+30</f>
        <v>198</v>
      </c>
    </row>
    <row r="15" spans="2:15" x14ac:dyDescent="0.3">
      <c r="B15" s="40"/>
      <c r="C15" s="41">
        <v>92</v>
      </c>
      <c r="D15" s="42"/>
      <c r="E15" s="64">
        <f>E14*0.51</f>
        <v>94.86</v>
      </c>
      <c r="F15" s="42">
        <f>F14*0.51</f>
        <v>82.11</v>
      </c>
      <c r="G15" s="95">
        <f>G14*0.51</f>
        <v>95.37</v>
      </c>
      <c r="H15" s="52">
        <f>H14*0.51</f>
        <v>100.98</v>
      </c>
    </row>
    <row r="16" spans="2:15" x14ac:dyDescent="0.3">
      <c r="B16" s="40" t="s">
        <v>71</v>
      </c>
      <c r="C16" s="41">
        <v>79</v>
      </c>
      <c r="D16" s="42"/>
      <c r="E16" s="55">
        <f>E15-E8</f>
        <v>83.13</v>
      </c>
      <c r="F16" s="51">
        <f>F15-F8</f>
        <v>69.06</v>
      </c>
      <c r="G16" s="96">
        <f>G15-G8</f>
        <v>83.64</v>
      </c>
      <c r="H16" s="66">
        <f>H15-H8</f>
        <v>85.68</v>
      </c>
    </row>
    <row r="17" spans="2:15" x14ac:dyDescent="0.3">
      <c r="B17" s="40"/>
      <c r="C17" s="57"/>
      <c r="D17" s="58"/>
      <c r="E17" s="65"/>
      <c r="F17" s="58"/>
      <c r="G17" s="94"/>
      <c r="H17" s="45"/>
    </row>
    <row r="18" spans="2:15" x14ac:dyDescent="0.3">
      <c r="B18" s="60" t="s">
        <v>72</v>
      </c>
      <c r="C18" s="67"/>
      <c r="D18" s="47">
        <v>84</v>
      </c>
      <c r="E18" s="48">
        <v>86.4</v>
      </c>
      <c r="F18" s="47">
        <v>87</v>
      </c>
      <c r="G18" s="92">
        <v>88</v>
      </c>
      <c r="H18" s="45">
        <v>78</v>
      </c>
      <c r="N18" s="68"/>
    </row>
    <row r="19" spans="2:15" x14ac:dyDescent="0.3">
      <c r="B19" s="40"/>
      <c r="C19" s="41">
        <v>44</v>
      </c>
      <c r="D19" s="63">
        <f>D18*0.51</f>
        <v>42.84</v>
      </c>
      <c r="E19" s="64">
        <f>E18*0.51</f>
        <v>44.064000000000007</v>
      </c>
      <c r="F19" s="63">
        <f>F18*0.51</f>
        <v>44.37</v>
      </c>
      <c r="G19" s="95">
        <f>G18*0.51</f>
        <v>44.88</v>
      </c>
      <c r="H19" s="52">
        <f>H18*0.51</f>
        <v>39.78</v>
      </c>
      <c r="N19" s="68"/>
      <c r="O19" s="68"/>
    </row>
    <row r="20" spans="2:15" x14ac:dyDescent="0.3">
      <c r="B20" s="60" t="s">
        <v>73</v>
      </c>
      <c r="C20" s="61">
        <f>C21/0.51</f>
        <v>17.647058823529413</v>
      </c>
      <c r="D20" s="47">
        <v>20</v>
      </c>
      <c r="E20" s="48">
        <v>18.399999999999999</v>
      </c>
      <c r="F20" s="47">
        <v>32</v>
      </c>
      <c r="G20" s="94">
        <v>21</v>
      </c>
      <c r="H20" s="45">
        <v>24</v>
      </c>
    </row>
    <row r="21" spans="2:15" x14ac:dyDescent="0.3">
      <c r="B21" s="40"/>
      <c r="C21" s="41">
        <v>9</v>
      </c>
      <c r="D21" s="63">
        <f>D20*0.51</f>
        <v>10.199999999999999</v>
      </c>
      <c r="E21" s="64">
        <f>E20*0.51</f>
        <v>9.3839999999999986</v>
      </c>
      <c r="F21" s="63">
        <f>F20*0.51</f>
        <v>16.32</v>
      </c>
      <c r="G21" s="95">
        <f>G20*0.51</f>
        <v>10.71</v>
      </c>
      <c r="H21" s="52">
        <f>H20*0.51</f>
        <v>12.24</v>
      </c>
    </row>
    <row r="22" spans="2:15" x14ac:dyDescent="0.3">
      <c r="B22" s="69" t="s">
        <v>74</v>
      </c>
      <c r="C22" s="70">
        <v>53</v>
      </c>
      <c r="D22" s="71">
        <f>D21+D19</f>
        <v>53.040000000000006</v>
      </c>
      <c r="E22" s="72">
        <f>E21+E19</f>
        <v>53.448000000000008</v>
      </c>
      <c r="F22" s="71">
        <f>F21+F19</f>
        <v>60.69</v>
      </c>
      <c r="G22" s="97">
        <f>G21+G19</f>
        <v>55.59</v>
      </c>
      <c r="H22" s="73">
        <f>H19+H21</f>
        <v>52.02</v>
      </c>
    </row>
    <row r="23" spans="2:15" x14ac:dyDescent="0.3">
      <c r="B23" s="40"/>
      <c r="C23" s="57"/>
      <c r="D23" s="58"/>
      <c r="E23" s="65"/>
      <c r="F23" s="58"/>
      <c r="G23" s="94"/>
      <c r="H23" s="45"/>
    </row>
    <row r="24" spans="2:15" x14ac:dyDescent="0.3">
      <c r="B24" s="40" t="s">
        <v>75</v>
      </c>
      <c r="C24" s="41">
        <f>C15-C8-C27-C22</f>
        <v>15</v>
      </c>
      <c r="D24" s="58"/>
      <c r="E24" s="65"/>
      <c r="F24" s="58"/>
      <c r="G24" s="94"/>
      <c r="H24" s="45"/>
    </row>
    <row r="25" spans="2:15" x14ac:dyDescent="0.3">
      <c r="B25" s="40"/>
      <c r="C25" s="57"/>
      <c r="D25" s="58"/>
      <c r="E25" s="65"/>
      <c r="F25" s="58"/>
      <c r="G25" s="94"/>
      <c r="H25" s="45"/>
    </row>
    <row r="26" spans="2:15" x14ac:dyDescent="0.3">
      <c r="B26" s="40"/>
      <c r="C26" s="57"/>
      <c r="D26" s="58">
        <f>398-342</f>
        <v>56</v>
      </c>
      <c r="E26" s="48">
        <v>40.1</v>
      </c>
      <c r="F26" s="47">
        <v>22</v>
      </c>
      <c r="G26" s="92">
        <f>389-345</f>
        <v>44</v>
      </c>
      <c r="H26" s="50">
        <v>40</v>
      </c>
    </row>
    <row r="27" spans="2:15" x14ac:dyDescent="0.3">
      <c r="B27" s="40" t="s">
        <v>76</v>
      </c>
      <c r="C27" s="41">
        <v>11</v>
      </c>
      <c r="D27" s="63">
        <f>D26*0.51</f>
        <v>28.560000000000002</v>
      </c>
      <c r="E27" s="64">
        <f>E26*0.51</f>
        <v>20.451000000000001</v>
      </c>
      <c r="F27" s="63">
        <f>F26*0.51</f>
        <v>11.22</v>
      </c>
      <c r="G27" s="95">
        <f>G26*0.51</f>
        <v>22.44</v>
      </c>
      <c r="H27" s="52">
        <f>H26*0.51</f>
        <v>20.399999999999999</v>
      </c>
    </row>
    <row r="28" spans="2:15" x14ac:dyDescent="0.3">
      <c r="B28" s="58"/>
      <c r="C28" s="58"/>
      <c r="D28" s="58"/>
      <c r="E28" s="58"/>
      <c r="F28" s="58"/>
    </row>
    <row r="29" spans="2:15" x14ac:dyDescent="0.3">
      <c r="B29" s="58"/>
      <c r="C29" s="58"/>
      <c r="D29" s="58"/>
      <c r="E29" s="58"/>
      <c r="F29" s="58"/>
    </row>
    <row r="40" spans="7:7" x14ac:dyDescent="0.3">
      <c r="G40" s="77" t="s">
        <v>77</v>
      </c>
    </row>
  </sheetData>
  <hyperlinks>
    <hyperlink ref="D2" r:id="rId1"/>
    <hyperlink ref="H2" r:id="rId2"/>
    <hyperlink ref="E3" r:id="rId3"/>
    <hyperlink ref="G3" r:id="rId4"/>
    <hyperlink ref="J5" r:id="rId5"/>
    <hyperlink ref="N6" r:id="rId6"/>
    <hyperlink ref="G40" r:id="rId7"/>
  </hyperlinks>
  <pageMargins left="0.7" right="0.7" top="0.75" bottom="0.75" header="0.51180555555555496" footer="0.51180555555555496"/>
  <pageSetup paperSize="9" firstPageNumber="0" orientation="portrait" horizontalDpi="300" verticalDpi="300"/>
  <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tabSelected="1" zoomScaleNormal="100" workbookViewId="0">
      <selection activeCell="A4" sqref="A4"/>
    </sheetView>
  </sheetViews>
  <sheetFormatPr baseColWidth="10" defaultColWidth="9.109375" defaultRowHeight="14.4" x14ac:dyDescent="0.3"/>
  <cols>
    <col min="3" max="3" width="22.5546875" customWidth="1"/>
    <col min="4" max="4" width="17.44140625" customWidth="1"/>
    <col min="5" max="5" width="17.33203125" customWidth="1"/>
    <col min="6" max="6" width="27" customWidth="1"/>
  </cols>
  <sheetData>
    <row r="1" spans="1:11" x14ac:dyDescent="0.3">
      <c r="A1" s="77" t="s">
        <v>78</v>
      </c>
      <c r="B1" s="74"/>
      <c r="C1" s="74"/>
      <c r="D1" s="74"/>
    </row>
    <row r="2" spans="1:11" ht="15" thickBot="1" x14ac:dyDescent="0.35"/>
    <row r="3" spans="1:11" ht="18" x14ac:dyDescent="0.35">
      <c r="C3" s="78" t="s">
        <v>79</v>
      </c>
      <c r="D3" s="79" t="s">
        <v>80</v>
      </c>
      <c r="E3" s="79" t="s">
        <v>81</v>
      </c>
      <c r="F3" s="80" t="s">
        <v>82</v>
      </c>
    </row>
    <row r="4" spans="1:11" ht="18" x14ac:dyDescent="0.35">
      <c r="C4" s="81" t="s">
        <v>85</v>
      </c>
      <c r="D4" s="75">
        <v>270</v>
      </c>
      <c r="E4" s="87">
        <f>5.35*LN(D4/270)</f>
        <v>0</v>
      </c>
      <c r="F4" s="82">
        <f>E4*0.51</f>
        <v>0</v>
      </c>
    </row>
    <row r="5" spans="1:11" ht="18" x14ac:dyDescent="0.35">
      <c r="C5" s="81">
        <v>1980</v>
      </c>
      <c r="D5" s="75">
        <v>339</v>
      </c>
      <c r="E5" s="87">
        <f>5.35*LN(D5/270)</f>
        <v>1.2175430938441039</v>
      </c>
      <c r="F5" s="82">
        <f>E5*0.51</f>
        <v>0.62094697786049302</v>
      </c>
    </row>
    <row r="6" spans="1:11" ht="18" x14ac:dyDescent="0.35">
      <c r="C6" s="81">
        <v>2020</v>
      </c>
      <c r="D6" s="75">
        <v>415</v>
      </c>
      <c r="E6" s="87">
        <f>5.35*LN(D6/270)</f>
        <v>2.2997326025929308</v>
      </c>
      <c r="F6" s="82">
        <f>E6*0.51</f>
        <v>1.1728636273223947</v>
      </c>
      <c r="K6" s="86"/>
    </row>
    <row r="7" spans="1:11" ht="18.600000000000001" thickBot="1" x14ac:dyDescent="0.4">
      <c r="C7" s="84" t="s">
        <v>83</v>
      </c>
      <c r="D7" s="85">
        <v>380</v>
      </c>
      <c r="E7" s="88">
        <f>5.35*LN(D7/270)</f>
        <v>1.8283587214130033</v>
      </c>
      <c r="F7" s="83">
        <f>E7*0.51</f>
        <v>0.93246294792063167</v>
      </c>
    </row>
    <row r="8" spans="1:11" x14ac:dyDescent="0.3">
      <c r="C8" s="76"/>
      <c r="D8" s="76"/>
      <c r="E8" s="76"/>
      <c r="F8" s="76"/>
    </row>
    <row r="11" spans="1:11" x14ac:dyDescent="0.3">
      <c r="A11" s="77" t="s">
        <v>84</v>
      </c>
    </row>
  </sheetData>
  <hyperlinks>
    <hyperlink ref="A1" r:id="rId1"/>
    <hyperlink ref="A11" r:id="rId2"/>
  </hyperlink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3"/>
  <headerFooter>
    <oddHeader>&amp;C&amp;"Times New Roman,Normal"&amp;12&amp;A</oddHeader>
    <oddFooter>&amp;C&amp;"Times New Roman,Normal"&amp;12Page &amp;P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22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Statistiques</vt:lpstr>
      <vt:lpstr>Trois  flux + cycle  eau</vt:lpstr>
      <vt:lpstr>Comparatif shémas</vt:lpstr>
      <vt:lpstr>Forcage radiatif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rpf</dc:creator>
  <cp:lastModifiedBy>qsd</cp:lastModifiedBy>
  <cp:revision>6</cp:revision>
  <dcterms:created xsi:type="dcterms:W3CDTF">2020-05-04T06:40:17Z</dcterms:created>
  <dcterms:modified xsi:type="dcterms:W3CDTF">2021-09-17T13:45:57Z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